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702" firstSheet="5" activeTab="5"/>
  </bookViews>
  <sheets>
    <sheet name="Ensino" sheetId="1" state="hidden" r:id="rId1"/>
    <sheet name="Saúde" sheetId="2" state="hidden" r:id="rId2"/>
    <sheet name="Exc" sheetId="3" state="hidden" r:id="rId3"/>
    <sheet name="Educ" sheetId="4" state="hidden" r:id="rId4"/>
    <sheet name="Saud" sheetId="5" state="hidden" r:id="rId5"/>
    <sheet name="Educ (2)" sheetId="6" r:id="rId6"/>
  </sheets>
  <definedNames/>
  <calcPr fullCalcOnLoad="1"/>
</workbook>
</file>

<file path=xl/sharedStrings.xml><?xml version="1.0" encoding="utf-8"?>
<sst xmlns="http://schemas.openxmlformats.org/spreadsheetml/2006/main" count="410" uniqueCount="192">
  <si>
    <t>Total</t>
  </si>
  <si>
    <t>RECEITAS E DESPESAS DO ENSINO  -  PUBLICAÇÃO  (ARTIGO 256 DA CONSTITUIÇÃO ESTADUAL)</t>
  </si>
  <si>
    <t>MUNICÍPIO:</t>
  </si>
  <si>
    <t>PERÍODO:</t>
  </si>
  <si>
    <t>EXERCÍCIO:</t>
  </si>
  <si>
    <t>ACUMULADO</t>
  </si>
  <si>
    <t>RECEITAS ARRECADADAS</t>
  </si>
  <si>
    <t>Acumulado</t>
  </si>
  <si>
    <t>DESPESAS DO ENSINO</t>
  </si>
  <si>
    <t>Empenhado</t>
  </si>
  <si>
    <t>Liquidado</t>
  </si>
  <si>
    <t>Pago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</si>
  <si>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</si>
  <si>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</si>
  <si>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</si>
  <si>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</si>
  <si>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</si>
  <si>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12.367 - Educação Especial</t>
  </si>
  <si>
    <t>Atualização de Dívida Ativa de Impostos</t>
  </si>
  <si>
    <t>( = )</t>
  </si>
  <si>
    <t>Total da Despesa do Ensino</t>
  </si>
  <si>
    <t>Multa/Juros provenientes de impostos</t>
  </si>
  <si>
    <t>( - )</t>
  </si>
  <si>
    <t>Despesas c/ Recursos do QSE, Convênios e Outros</t>
  </si>
  <si>
    <t xml:space="preserve">Fundo de Participação dos Municípios </t>
  </si>
  <si>
    <t>Despesas c/ Rendimentos de Aplicações - Conta LDB</t>
  </si>
  <si>
    <t>Imposto Territorial Rural</t>
  </si>
  <si>
    <t>Despesas c/ Recursos de Operações de Crédito</t>
  </si>
  <si>
    <t>Desoneração de Exportações (LC-87/96)</t>
  </si>
  <si>
    <t xml:space="preserve">Total da Despesa com Recursos Próprios </t>
  </si>
  <si>
    <t>Imposto s/ Circ. de Mercadorias e Serviços</t>
  </si>
  <si>
    <t>( + )</t>
  </si>
  <si>
    <t>Despesas FUNDEB - 60%</t>
  </si>
  <si>
    <t>Imposto s/ Propriedade de Veículo Automotor</t>
  </si>
  <si>
    <t>Despesas FUNDEB - 40%</t>
  </si>
  <si>
    <t>Imposto s/ Produto Industrial s/ Exportação</t>
  </si>
  <si>
    <t>Valor Efetivamente Retido ao FUNDEB (Retenção - Receita)</t>
  </si>
  <si>
    <t>TOTAL DAS RECEITAS DE IMPOSTOS E TRANSFERÊNCIAS</t>
  </si>
  <si>
    <t>Parcela Empenhada do Ganho Líquido - FUNDEB</t>
  </si>
  <si>
    <t>TOTAL APLICADO NO ENSINO</t>
  </si>
  <si>
    <t>QSE, Convênios e Outros Recursos Adicionais</t>
  </si>
  <si>
    <t>APLICAÇÃO NO ENSINO (ART. 212 CF)</t>
  </si>
  <si>
    <t>Rendimentos de Aplicação Financeira - Conta LDB e Adicionais</t>
  </si>
  <si>
    <t>Retenção para Formação do FUNDEB</t>
  </si>
  <si>
    <t>Recursos Vinculados - Saldo Exercicio Anterior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</si>
  <si>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</si>
  <si>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</si>
  <si>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</si>
  <si>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</si>
  <si>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</si>
  <si>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</si>
  <si>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REPASSES À CONTA DO ENSINO - ART.69,§5º,LEI 9.394/96</t>
  </si>
  <si>
    <t>Secretária de Educação</t>
  </si>
  <si>
    <t>Presidente Conselho Municipal da Educação</t>
  </si>
  <si>
    <t>Prefeito Municipal</t>
  </si>
  <si>
    <t>Contador</t>
  </si>
  <si>
    <t>RECEITAS E DESPESAS DA SAÚDE  -  EMENDA CONSTITUCIONAL 29 DE 13/SETEMBRO/2000</t>
  </si>
  <si>
    <t>DESPESAS DA SAÚDE</t>
  </si>
  <si>
    <t>10.301 - Atenção Básica</t>
  </si>
  <si>
    <t>10.302 - Assistência Hospitalar e Ambulatorial</t>
  </si>
  <si>
    <t>10.303 - Suporte Profilático e Terapêutico</t>
  </si>
  <si>
    <t>10.304 - Vigilância Sanitária</t>
  </si>
  <si>
    <t>10.305 - Vigilância Epidemiológica</t>
  </si>
  <si>
    <t>RESTOS A PAGAR C/RECURSOS VINCULADOS</t>
  </si>
  <si>
    <t>Valor pago até o período</t>
  </si>
  <si>
    <t>Total da Despesa da Saúde</t>
  </si>
  <si>
    <t>Despesas c/ Recursos Vinculados</t>
  </si>
  <si>
    <t>RECURSOS VINCULADOS</t>
  </si>
  <si>
    <t>Recursos Atenção Básica</t>
  </si>
  <si>
    <t>Recursos Assistência Farmacêutica</t>
  </si>
  <si>
    <t>Recursos Vigilância em Saúde</t>
  </si>
  <si>
    <t>Recursos MAC</t>
  </si>
  <si>
    <t>Demais Recursos União</t>
  </si>
  <si>
    <t>Recursos Qualis Mais</t>
  </si>
  <si>
    <t>Recursos Insumos Diabetes</t>
  </si>
  <si>
    <t>Recursos Sorria São Paulo</t>
  </si>
  <si>
    <t>Demais Recursos Estado</t>
  </si>
  <si>
    <t>Rendimentos de Aplicação Financeira Recursos Vinculados</t>
  </si>
  <si>
    <t>Saldo Recursos Vinculados Exercício Anterior</t>
  </si>
  <si>
    <t>TOTAL APLICADO NA SAÚDE</t>
  </si>
  <si>
    <t>TOTAL RECEITAS COM RECURSOS VINCULADOS</t>
  </si>
  <si>
    <t>Saldo Recursos Vinculados no Período</t>
  </si>
  <si>
    <t>APLICAÇÃO EM SAÚDE (EC 29/2000)</t>
  </si>
  <si>
    <t>Secretária de Saúde</t>
  </si>
  <si>
    <t>Presidente Conselho Municipal de Saúde</t>
  </si>
  <si>
    <t xml:space="preserve">12.361 - Ensino Fundamental </t>
  </si>
  <si>
    <t xml:space="preserve">12.365 - Educação Infantil </t>
  </si>
  <si>
    <t xml:space="preserve">12.366 - Educação de Jovens e Adultos </t>
  </si>
  <si>
    <t>Restos a Pagar pagos c/Recs.Vinculados</t>
  </si>
  <si>
    <t xml:space="preserve">12.122 - Administração Geral da Secretaria da Educação </t>
  </si>
  <si>
    <t>Calculo para apuração de superávit ou défict de  Arrecadação</t>
  </si>
  <si>
    <t>Artigo 43 § 3º da Lei 4320/64</t>
  </si>
  <si>
    <t>Receita Corrente</t>
  </si>
  <si>
    <t>Histórico</t>
  </si>
  <si>
    <t>Valor</t>
  </si>
  <si>
    <t>Resultado</t>
  </si>
  <si>
    <r>
      <t xml:space="preserve">Receita prevista para 2012 </t>
    </r>
    <r>
      <rPr>
        <b/>
        <sz val="8"/>
        <rFont val="Arial"/>
        <family val="2"/>
      </rPr>
      <t>(x2)</t>
    </r>
  </si>
  <si>
    <t>Calculo da taxa de incremento (y)</t>
  </si>
  <si>
    <r>
      <t>(y) =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1º período de x2</t>
    </r>
    <r>
      <rPr>
        <b/>
        <sz val="10"/>
        <rFont val="Arial"/>
        <family val="2"/>
      </rPr>
      <t xml:space="preserve"> x 100 = </t>
    </r>
  </si>
  <si>
    <r>
      <t xml:space="preserve">        </t>
    </r>
    <r>
      <rPr>
        <b/>
        <sz val="10"/>
        <rFont val="Arial"/>
        <family val="2"/>
      </rPr>
      <t>1º período de x1</t>
    </r>
  </si>
  <si>
    <t xml:space="preserve">(w) Arrecadação do 2º período =  (x1)*(y)+(x1) </t>
  </si>
  <si>
    <t>Cálculo do Superávit ou Défict de Arrecadação</t>
  </si>
  <si>
    <t>(=) Excesso Provável de Arrecadação para 2012</t>
  </si>
  <si>
    <t>(-) Créditos Abertos p/Excesso</t>
  </si>
  <si>
    <t>(=) Excesso Provável Apurado</t>
  </si>
  <si>
    <t>Receita Corrente Fonte 01</t>
  </si>
  <si>
    <t>Receita Corrente e Capital</t>
  </si>
  <si>
    <t>RUBINÉIA</t>
  </si>
  <si>
    <r>
      <t xml:space="preserve">Arrecadaçao de janeiro a setembro 2011 </t>
    </r>
    <r>
      <rPr>
        <b/>
        <sz val="10"/>
        <rFont val="Arial"/>
        <family val="2"/>
      </rPr>
      <t>(x1)</t>
    </r>
  </si>
  <si>
    <r>
      <t xml:space="preserve">Arrecadação de outubro a dezembro 2011 </t>
    </r>
    <r>
      <rPr>
        <b/>
        <sz val="8"/>
        <rFont val="Arial"/>
        <family val="2"/>
      </rPr>
      <t>(x1)</t>
    </r>
  </si>
  <si>
    <r>
      <t xml:space="preserve">Arrecadação de janeiro a setembro de 2012 </t>
    </r>
    <r>
      <rPr>
        <b/>
        <sz val="8"/>
        <rFont val="Arial"/>
        <family val="2"/>
      </rPr>
      <t>(x2)</t>
    </r>
  </si>
  <si>
    <t>12.361 - Ensino Fundamental</t>
  </si>
  <si>
    <t>12.365 - Educação Infantil</t>
  </si>
  <si>
    <t>Retenção para Formaçãodo FUNDEB</t>
  </si>
  <si>
    <t>FUNDEB</t>
  </si>
  <si>
    <t>Secretário da Saúde</t>
  </si>
  <si>
    <t>Rendimentos de Aplicação Financeira Conta LDB</t>
  </si>
  <si>
    <t>DESPESAS SAÚDE</t>
  </si>
  <si>
    <t>Rec.Vinculado</t>
  </si>
  <si>
    <t>Saldo Atual</t>
  </si>
  <si>
    <t>Salário Educação</t>
  </si>
  <si>
    <t>PNATE</t>
  </si>
  <si>
    <t>TE Estadual</t>
  </si>
  <si>
    <t>Recursos recebidos do FUNDEB no exercício</t>
  </si>
  <si>
    <t>RP Pagos</t>
  </si>
  <si>
    <t>Resultado FUNDEB (Retenção-Receita)</t>
  </si>
  <si>
    <t>Despesas c/ Rend.Aplicações-Conta LDB</t>
  </si>
  <si>
    <t>Aplicação Magistério - FUNDEB</t>
  </si>
  <si>
    <t>Aplicação dos recursos do FUNDEB</t>
  </si>
  <si>
    <t xml:space="preserve">12.122 - Administração Geral </t>
  </si>
  <si>
    <t>Despesas c/ Recursos de Op.Crédito</t>
  </si>
  <si>
    <t xml:space="preserve">Total Despesa c/Rec.Próprios </t>
  </si>
  <si>
    <t>Sd.Ex.Ant.</t>
  </si>
  <si>
    <t>Receitas</t>
  </si>
  <si>
    <t>Apl.Fin.</t>
  </si>
  <si>
    <t>Despesas</t>
  </si>
  <si>
    <t>Parc.Empenhada Ganho Líquido-FUNDEB</t>
  </si>
  <si>
    <t>REPASSES ART.69,§5º LEI 9.394/96</t>
  </si>
  <si>
    <t>Atenção Básica</t>
  </si>
  <si>
    <t>Vigilância</t>
  </si>
  <si>
    <t>MAC</t>
  </si>
  <si>
    <t>Qualis Mais</t>
  </si>
  <si>
    <t>Ass.Farmácia</t>
  </si>
  <si>
    <t>10.302 - Ass.Hosp.Ambulatorial</t>
  </si>
  <si>
    <t>10.303 - Suporte Profilático/Terapêutico</t>
  </si>
  <si>
    <t>10.304 - Vig.Sanitária</t>
  </si>
  <si>
    <t>10.305 - Vig.Epidemiológica</t>
  </si>
  <si>
    <t>Total Aplicado em Saúde</t>
  </si>
  <si>
    <t>Total Gasto c/Recurso Vinculado</t>
  </si>
  <si>
    <t>Total Gasto c/Recurso Próprio</t>
  </si>
  <si>
    <t>% Aplicado c/Recurso Próprio</t>
  </si>
  <si>
    <t>Saldo FUNDEB Exercício Anterior</t>
  </si>
  <si>
    <t>Restos a Pagar FUNDEB pagos</t>
  </si>
  <si>
    <t>CARDOSO</t>
  </si>
  <si>
    <t>Apoio Creches</t>
  </si>
  <si>
    <t>PAR</t>
  </si>
  <si>
    <t>Pró Infância</t>
  </si>
  <si>
    <t>Tuberculose</t>
  </si>
  <si>
    <t>Pogesus</t>
  </si>
  <si>
    <t>Investimentos</t>
  </si>
  <si>
    <t>Diabetes</t>
  </si>
  <si>
    <t>Dose Certa</t>
  </si>
  <si>
    <t>-</t>
  </si>
  <si>
    <t>Despesas c/ Uniformes</t>
  </si>
  <si>
    <t>Maria Cecília da Silva Parpinelli</t>
  </si>
  <si>
    <t>Leonardo Gomes da Silva</t>
  </si>
  <si>
    <t xml:space="preserve">       Prefeito Municipal</t>
  </si>
  <si>
    <t>Andréia Regina Luiz</t>
  </si>
  <si>
    <t xml:space="preserve">              Contadora</t>
  </si>
  <si>
    <t xml:space="preserve"> Secretária Municipal de Educação e Cultura</t>
  </si>
  <si>
    <t>Aplicação Outros - FUNDEB</t>
  </si>
  <si>
    <t>Vinícius de Campos</t>
  </si>
  <si>
    <t>4º TRIMESTRE</t>
  </si>
  <si>
    <t>3º QUADRIMESTRE</t>
  </si>
  <si>
    <t>Parcela Diferida FUNDEB</t>
  </si>
  <si>
    <t>Sorria</t>
  </si>
  <si>
    <t>PNAE</t>
  </si>
  <si>
    <t>Merenda Estadual</t>
  </si>
  <si>
    <t>Imposto sobre Transmissão Bens Imóveis</t>
  </si>
  <si>
    <t>Imposto sobre Serviços de Qualquer Natureza</t>
  </si>
  <si>
    <t>Multas e Juros Mora Impostos</t>
  </si>
  <si>
    <t>Multas e Juros Mora Divida Ativa Impostos</t>
  </si>
  <si>
    <t>Dívida Ativa Impostos</t>
  </si>
  <si>
    <t>Saldo Diferido exercício anterior utilizado 1º trimestre</t>
  </si>
  <si>
    <t>Saldo diferido exercício anterior não utilizado 1º trimestre</t>
  </si>
  <si>
    <t>=</t>
  </si>
  <si>
    <t>Adicional FPM</t>
  </si>
  <si>
    <t>Convênio Federal</t>
  </si>
  <si>
    <t>Convênio Estadual</t>
  </si>
  <si>
    <t>Jair Cesar Nattes</t>
  </si>
  <si>
    <t>Sonia Maria Gonzalez Galbiati</t>
  </si>
  <si>
    <t>Maristela Pereira Amorim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</si>
</sst>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[$-416]dddd\,\ d&quot; de &quot;mmmm&quot; de &quot;yyyy"/>
    <numFmt numFmtId="199" formatCode="dd/mm/yy;@"/>
    <numFmt numFmtId="200" formatCode="dd/mm/yy"/>
    <numFmt numFmtId="201" formatCode="0_);\(0\)"/>
    <numFmt numFmtId="202" formatCode="[$-416]mmm\-yy;@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179" fontId="0" fillId="0" borderId="0" xfId="60" applyFont="1" applyAlignment="1">
      <alignment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179" fontId="1" fillId="0" borderId="11" xfId="60" applyFont="1" applyBorder="1" applyAlignment="1">
      <alignment horizontal="center"/>
    </xf>
    <xf numFmtId="179" fontId="1" fillId="0" borderId="10" xfId="60" applyFont="1" applyBorder="1" applyAlignment="1">
      <alignment horizontal="center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 horizontal="center"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10" fontId="1" fillId="0" borderId="16" xfId="0" applyNumberFormat="1" applyFont="1" applyBorder="1" applyAlignment="1" applyProtection="1">
      <alignment/>
      <protection hidden="1"/>
    </xf>
    <xf numFmtId="10" fontId="1" fillId="0" borderId="17" xfId="0" applyNumberFormat="1" applyFont="1" applyBorder="1" applyAlignment="1" applyProtection="1">
      <alignment/>
      <protection hidden="1"/>
    </xf>
    <xf numFmtId="39" fontId="1" fillId="0" borderId="18" xfId="0" applyNumberFormat="1" applyFont="1" applyBorder="1" applyAlignment="1" applyProtection="1">
      <alignment/>
      <protection hidden="1"/>
    </xf>
    <xf numFmtId="179" fontId="0" fillId="0" borderId="18" xfId="60" applyFont="1" applyBorder="1" applyAlignment="1">
      <alignment/>
    </xf>
    <xf numFmtId="179" fontId="0" fillId="0" borderId="19" xfId="60" applyFont="1" applyBorder="1" applyAlignment="1">
      <alignment/>
    </xf>
    <xf numFmtId="0" fontId="1" fillId="0" borderId="12" xfId="0" applyFont="1" applyBorder="1" applyAlignment="1" applyProtection="1">
      <alignment/>
      <protection hidden="1"/>
    </xf>
    <xf numFmtId="10" fontId="1" fillId="0" borderId="20" xfId="0" applyNumberFormat="1" applyFont="1" applyBorder="1" applyAlignment="1" applyProtection="1">
      <alignment horizontal="right"/>
      <protection hidden="1"/>
    </xf>
    <xf numFmtId="10" fontId="1" fillId="0" borderId="11" xfId="0" applyNumberFormat="1" applyFont="1" applyBorder="1" applyAlignment="1" applyProtection="1">
      <alignment horizontal="right"/>
      <protection hidden="1"/>
    </xf>
    <xf numFmtId="10" fontId="1" fillId="0" borderId="10" xfId="0" applyNumberFormat="1" applyFont="1" applyBorder="1" applyAlignment="1" applyProtection="1">
      <alignment horizontal="right"/>
      <protection hidden="1"/>
    </xf>
    <xf numFmtId="10" fontId="1" fillId="0" borderId="21" xfId="0" applyNumberFormat="1" applyFont="1" applyBorder="1" applyAlignment="1" applyProtection="1">
      <alignment horizontal="right"/>
      <protection hidden="1"/>
    </xf>
    <xf numFmtId="10" fontId="1" fillId="0" borderId="22" xfId="0" applyNumberFormat="1" applyFont="1" applyBorder="1" applyAlignment="1" applyProtection="1">
      <alignment horizontal="right"/>
      <protection hidden="1"/>
    </xf>
    <xf numFmtId="10" fontId="1" fillId="0" borderId="23" xfId="0" applyNumberFormat="1" applyFont="1" applyBorder="1" applyAlignment="1" applyProtection="1">
      <alignment horizontal="right"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10" fontId="1" fillId="0" borderId="24" xfId="0" applyNumberFormat="1" applyFont="1" applyBorder="1" applyAlignment="1" applyProtection="1">
      <alignment horizontal="right"/>
      <protection hidden="1"/>
    </xf>
    <xf numFmtId="179" fontId="0" fillId="0" borderId="24" xfId="60" applyFont="1" applyBorder="1" applyAlignment="1">
      <alignment/>
    </xf>
    <xf numFmtId="179" fontId="0" fillId="0" borderId="25" xfId="60" applyFont="1" applyBorder="1" applyAlignment="1">
      <alignment/>
    </xf>
    <xf numFmtId="0" fontId="6" fillId="0" borderId="26" xfId="0" applyFont="1" applyBorder="1" applyAlignment="1" applyProtection="1">
      <alignment/>
      <protection hidden="1"/>
    </xf>
    <xf numFmtId="0" fontId="7" fillId="0" borderId="26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179" fontId="0" fillId="0" borderId="22" xfId="60" applyFont="1" applyBorder="1" applyAlignment="1">
      <alignment/>
    </xf>
    <xf numFmtId="179" fontId="0" fillId="0" borderId="23" xfId="60" applyFont="1" applyBorder="1" applyAlignment="1">
      <alignment/>
    </xf>
    <xf numFmtId="0" fontId="0" fillId="0" borderId="27" xfId="0" applyBorder="1" applyAlignment="1">
      <alignment/>
    </xf>
    <xf numFmtId="179" fontId="0" fillId="0" borderId="27" xfId="6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4" fontId="1" fillId="0" borderId="23" xfId="0" applyNumberFormat="1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center"/>
      <protection hidden="1"/>
    </xf>
    <xf numFmtId="4" fontId="1" fillId="0" borderId="29" xfId="0" applyNumberFormat="1" applyFont="1" applyBorder="1" applyAlignment="1" applyProtection="1">
      <alignment/>
      <protection hidden="1"/>
    </xf>
    <xf numFmtId="4" fontId="1" fillId="0" borderId="30" xfId="0" applyNumberFormat="1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1" fillId="0" borderId="34" xfId="0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3" fontId="0" fillId="0" borderId="35" xfId="0" applyNumberFormat="1" applyFont="1" applyBorder="1" applyAlignment="1" applyProtection="1">
      <alignment horizontal="center"/>
      <protection hidden="1"/>
    </xf>
    <xf numFmtId="4" fontId="0" fillId="0" borderId="36" xfId="0" applyNumberFormat="1" applyFont="1" applyBorder="1" applyAlignment="1" applyProtection="1">
      <alignment/>
      <protection hidden="1"/>
    </xf>
    <xf numFmtId="4" fontId="0" fillId="0" borderId="37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>
      <alignment/>
    </xf>
    <xf numFmtId="0" fontId="1" fillId="0" borderId="35" xfId="0" applyFont="1" applyBorder="1" applyAlignment="1" applyProtection="1">
      <alignment horizontal="center"/>
      <protection hidden="1"/>
    </xf>
    <xf numFmtId="4" fontId="1" fillId="0" borderId="36" xfId="0" applyNumberFormat="1" applyFont="1" applyBorder="1" applyAlignment="1" applyProtection="1">
      <alignment/>
      <protection hidden="1"/>
    </xf>
    <xf numFmtId="4" fontId="1" fillId="0" borderId="37" xfId="0" applyNumberFormat="1" applyFont="1" applyBorder="1" applyAlignment="1" applyProtection="1">
      <alignment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12" xfId="0" applyNumberFormat="1" applyFont="1" applyBorder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" fontId="1" fillId="0" borderId="22" xfId="0" applyNumberFormat="1" applyFont="1" applyBorder="1" applyAlignment="1" applyProtection="1">
      <alignment/>
      <protection hidden="1"/>
    </xf>
    <xf numFmtId="4" fontId="1" fillId="0" borderId="23" xfId="0" applyNumberFormat="1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38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locked="0"/>
    </xf>
    <xf numFmtId="16" fontId="7" fillId="0" borderId="0" xfId="0" applyNumberFormat="1" applyFont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179" fontId="0" fillId="0" borderId="14" xfId="60" applyFont="1" applyBorder="1" applyAlignment="1" applyProtection="1">
      <alignment/>
      <protection locked="0"/>
    </xf>
    <xf numFmtId="179" fontId="0" fillId="0" borderId="15" xfId="60" applyFont="1" applyBorder="1" applyAlignment="1" applyProtection="1">
      <alignment/>
      <protection locked="0"/>
    </xf>
    <xf numFmtId="10" fontId="1" fillId="0" borderId="18" xfId="0" applyNumberFormat="1" applyFont="1" applyBorder="1" applyAlignment="1" applyProtection="1">
      <alignment horizontal="right"/>
      <protection hidden="1"/>
    </xf>
    <xf numFmtId="39" fontId="1" fillId="0" borderId="36" xfId="0" applyNumberFormat="1" applyFont="1" applyBorder="1" applyAlignment="1" applyProtection="1">
      <alignment/>
      <protection hidden="1"/>
    </xf>
    <xf numFmtId="39" fontId="1" fillId="0" borderId="34" xfId="0" applyNumberFormat="1" applyFont="1" applyBorder="1" applyAlignment="1" applyProtection="1">
      <alignment/>
      <protection locked="0"/>
    </xf>
    <xf numFmtId="39" fontId="1" fillId="0" borderId="16" xfId="0" applyNumberFormat="1" applyFont="1" applyBorder="1" applyAlignment="1" applyProtection="1">
      <alignment/>
      <protection locked="0"/>
    </xf>
    <xf numFmtId="39" fontId="1" fillId="0" borderId="17" xfId="0" applyNumberFormat="1" applyFont="1" applyBorder="1" applyAlignment="1" applyProtection="1">
      <alignment/>
      <protection locked="0"/>
    </xf>
    <xf numFmtId="4" fontId="0" fillId="0" borderId="40" xfId="0" applyNumberFormat="1" applyFont="1" applyBorder="1" applyAlignment="1" applyProtection="1">
      <alignment/>
      <protection locked="0"/>
    </xf>
    <xf numFmtId="4" fontId="1" fillId="0" borderId="40" xfId="0" applyNumberFormat="1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locked="0"/>
    </xf>
    <xf numFmtId="10" fontId="1" fillId="0" borderId="35" xfId="0" applyNumberFormat="1" applyFont="1" applyBorder="1" applyAlignment="1" applyProtection="1">
      <alignment/>
      <protection hidden="1"/>
    </xf>
    <xf numFmtId="10" fontId="1" fillId="0" borderId="36" xfId="0" applyNumberFormat="1" applyFont="1" applyBorder="1" applyAlignment="1" applyProtection="1">
      <alignment/>
      <protection hidden="1"/>
    </xf>
    <xf numFmtId="10" fontId="1" fillId="0" borderId="3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39" fontId="1" fillId="0" borderId="10" xfId="0" applyNumberFormat="1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201" fontId="0" fillId="0" borderId="0" xfId="60" applyNumberFormat="1" applyFont="1" applyAlignment="1" applyProtection="1">
      <alignment horizontal="center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79" fontId="0" fillId="0" borderId="22" xfId="60" applyFont="1" applyBorder="1" applyAlignment="1" applyProtection="1">
      <alignment/>
      <protection locked="0"/>
    </xf>
    <xf numFmtId="179" fontId="0" fillId="0" borderId="41" xfId="60" applyFon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4" xfId="60" applyNumberFormat="1" applyFont="1" applyBorder="1" applyAlignment="1" applyProtection="1">
      <alignment/>
      <protection locked="0"/>
    </xf>
    <xf numFmtId="4" fontId="0" fillId="0" borderId="15" xfId="6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179" fontId="0" fillId="0" borderId="49" xfId="60" applyFont="1" applyBorder="1" applyAlignment="1">
      <alignment/>
    </xf>
    <xf numFmtId="0" fontId="0" fillId="0" borderId="49" xfId="0" applyBorder="1" applyAlignment="1">
      <alignment/>
    </xf>
    <xf numFmtId="179" fontId="0" fillId="0" borderId="49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9" fontId="10" fillId="0" borderId="52" xfId="0" applyNumberFormat="1" applyFont="1" applyBorder="1" applyAlignment="1">
      <alignment/>
    </xf>
    <xf numFmtId="10" fontId="0" fillId="0" borderId="49" xfId="49" applyNumberFormat="1" applyFont="1" applyBorder="1" applyAlignment="1">
      <alignment/>
    </xf>
    <xf numFmtId="0" fontId="0" fillId="0" borderId="45" xfId="0" applyBorder="1" applyAlignment="1">
      <alignment/>
    </xf>
    <xf numFmtId="179" fontId="0" fillId="0" borderId="47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9" fontId="11" fillId="0" borderId="55" xfId="0" applyNumberFormat="1" applyFont="1" applyBorder="1" applyAlignment="1">
      <alignment/>
    </xf>
    <xf numFmtId="10" fontId="0" fillId="0" borderId="49" xfId="49" applyNumberFormat="1" applyBorder="1" applyAlignment="1">
      <alignment/>
    </xf>
    <xf numFmtId="179" fontId="0" fillId="0" borderId="49" xfId="60" applyBorder="1" applyAlignment="1">
      <alignment/>
    </xf>
    <xf numFmtId="0" fontId="0" fillId="32" borderId="48" xfId="0" applyFill="1" applyBorder="1" applyAlignment="1">
      <alignment/>
    </xf>
    <xf numFmtId="4" fontId="0" fillId="0" borderId="14" xfId="0" applyNumberFormat="1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10" fontId="1" fillId="0" borderId="34" xfId="0" applyNumberFormat="1" applyFont="1" applyBorder="1" applyAlignment="1" applyProtection="1">
      <alignment/>
      <protection hidden="1"/>
    </xf>
    <xf numFmtId="4" fontId="1" fillId="0" borderId="24" xfId="0" applyNumberFormat="1" applyFont="1" applyBorder="1" applyAlignment="1" applyProtection="1">
      <alignment/>
      <protection hidden="1"/>
    </xf>
    <xf numFmtId="10" fontId="1" fillId="0" borderId="14" xfId="0" applyNumberFormat="1" applyFont="1" applyBorder="1" applyAlignment="1" applyProtection="1">
      <alignment horizontal="right"/>
      <protection hidden="1"/>
    </xf>
    <xf numFmtId="4" fontId="0" fillId="0" borderId="18" xfId="0" applyNumberFormat="1" applyFont="1" applyBorder="1" applyAlignment="1" applyProtection="1">
      <alignment/>
      <protection hidden="1"/>
    </xf>
    <xf numFmtId="10" fontId="1" fillId="0" borderId="19" xfId="0" applyNumberFormat="1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/>
      <protection hidden="1"/>
    </xf>
    <xf numFmtId="4" fontId="1" fillId="0" borderId="25" xfId="0" applyNumberFormat="1" applyFont="1" applyBorder="1" applyAlignment="1" applyProtection="1">
      <alignment/>
      <protection hidden="1"/>
    </xf>
    <xf numFmtId="10" fontId="1" fillId="0" borderId="15" xfId="0" applyNumberFormat="1" applyFont="1" applyBorder="1" applyAlignment="1" applyProtection="1">
      <alignment horizontal="right"/>
      <protection hidden="1"/>
    </xf>
    <xf numFmtId="4" fontId="0" fillId="0" borderId="14" xfId="0" applyNumberFormat="1" applyBorder="1" applyAlignment="1">
      <alignment/>
    </xf>
    <xf numFmtId="0" fontId="0" fillId="0" borderId="11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179" fontId="0" fillId="0" borderId="27" xfId="60" applyFont="1" applyBorder="1" applyAlignment="1">
      <alignment/>
    </xf>
    <xf numFmtId="0" fontId="0" fillId="0" borderId="14" xfId="0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center"/>
      <protection hidden="1"/>
    </xf>
    <xf numFmtId="39" fontId="1" fillId="0" borderId="58" xfId="0" applyNumberFormat="1" applyFont="1" applyBorder="1" applyAlignment="1" applyProtection="1">
      <alignment/>
      <protection hidden="1"/>
    </xf>
    <xf numFmtId="179" fontId="0" fillId="0" borderId="58" xfId="60" applyFont="1" applyBorder="1" applyAlignment="1">
      <alignment/>
    </xf>
    <xf numFmtId="179" fontId="0" fillId="0" borderId="59" xfId="60" applyFont="1" applyBorder="1" applyAlignment="1">
      <alignment/>
    </xf>
    <xf numFmtId="4" fontId="1" fillId="0" borderId="22" xfId="0" applyNumberFormat="1" applyFont="1" applyBorder="1" applyAlignment="1" applyProtection="1">
      <alignment/>
      <protection hidden="1"/>
    </xf>
    <xf numFmtId="10" fontId="1" fillId="0" borderId="60" xfId="0" applyNumberFormat="1" applyFont="1" applyBorder="1" applyAlignment="1" applyProtection="1">
      <alignment horizontal="right"/>
      <protection hidden="1"/>
    </xf>
    <xf numFmtId="10" fontId="1" fillId="0" borderId="61" xfId="0" applyNumberFormat="1" applyFont="1" applyBorder="1" applyAlignment="1" applyProtection="1">
      <alignment horizontal="right"/>
      <protection hidden="1"/>
    </xf>
    <xf numFmtId="0" fontId="1" fillId="0" borderId="60" xfId="0" applyFont="1" applyBorder="1" applyAlignment="1" applyProtection="1">
      <alignment/>
      <protection hidden="1"/>
    </xf>
    <xf numFmtId="0" fontId="1" fillId="0" borderId="62" xfId="0" applyFont="1" applyBorder="1" applyAlignment="1" applyProtection="1">
      <alignment/>
      <protection hidden="1"/>
    </xf>
    <xf numFmtId="0" fontId="1" fillId="0" borderId="56" xfId="0" applyFont="1" applyBorder="1" applyAlignment="1" applyProtection="1">
      <alignment/>
      <protection hidden="1"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0" fontId="0" fillId="0" borderId="15" xfId="0" applyBorder="1" applyAlignment="1">
      <alignment/>
    </xf>
    <xf numFmtId="39" fontId="1" fillId="0" borderId="22" xfId="0" applyNumberFormat="1" applyFont="1" applyBorder="1" applyAlignment="1" applyProtection="1">
      <alignment/>
      <protection hidden="1"/>
    </xf>
    <xf numFmtId="39" fontId="1" fillId="0" borderId="23" xfId="0" applyNumberFormat="1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63" xfId="0" applyBorder="1" applyAlignment="1">
      <alignment/>
    </xf>
    <xf numFmtId="4" fontId="0" fillId="0" borderId="16" xfId="0" applyNumberFormat="1" applyFont="1" applyBorder="1" applyAlignment="1" applyProtection="1">
      <alignment/>
      <protection hidden="1"/>
    </xf>
    <xf numFmtId="4" fontId="0" fillId="0" borderId="1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 horizontal="center"/>
      <protection hidden="1"/>
    </xf>
    <xf numFmtId="0" fontId="1" fillId="0" borderId="64" xfId="0" applyFont="1" applyBorder="1" applyAlignment="1" applyProtection="1">
      <alignment horizontal="center"/>
      <protection hidden="1"/>
    </xf>
    <xf numFmtId="179" fontId="1" fillId="0" borderId="24" xfId="60" applyFont="1" applyBorder="1" applyAlignment="1">
      <alignment horizontal="center"/>
    </xf>
    <xf numFmtId="179" fontId="1" fillId="0" borderId="25" xfId="6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9" fontId="0" fillId="0" borderId="0" xfId="60" applyFont="1" applyBorder="1" applyAlignment="1">
      <alignment/>
    </xf>
    <xf numFmtId="179" fontId="0" fillId="0" borderId="13" xfId="60" applyFont="1" applyBorder="1" applyAlignment="1">
      <alignment/>
    </xf>
    <xf numFmtId="179" fontId="0" fillId="0" borderId="46" xfId="60" applyFont="1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179" fontId="0" fillId="0" borderId="26" xfId="60" applyFont="1" applyBorder="1" applyAlignment="1">
      <alignment/>
    </xf>
    <xf numFmtId="179" fontId="0" fillId="0" borderId="41" xfId="60" applyFont="1" applyBorder="1" applyAlignment="1">
      <alignment/>
    </xf>
    <xf numFmtId="0" fontId="6" fillId="0" borderId="22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left"/>
      <protection hidden="1"/>
    </xf>
    <xf numFmtId="0" fontId="6" fillId="0" borderId="22" xfId="0" applyFont="1" applyBorder="1" applyAlignment="1" applyProtection="1">
      <alignment/>
      <protection hidden="1"/>
    </xf>
    <xf numFmtId="10" fontId="1" fillId="0" borderId="58" xfId="0" applyNumberFormat="1" applyFont="1" applyBorder="1" applyAlignment="1" applyProtection="1">
      <alignment/>
      <protection hidden="1"/>
    </xf>
    <xf numFmtId="10" fontId="1" fillId="0" borderId="65" xfId="0" applyNumberFormat="1" applyFont="1" applyBorder="1" applyAlignment="1" applyProtection="1">
      <alignment/>
      <protection hidden="1"/>
    </xf>
    <xf numFmtId="10" fontId="1" fillId="0" borderId="66" xfId="0" applyNumberFormat="1" applyFont="1" applyBorder="1" applyAlignment="1" applyProtection="1">
      <alignment/>
      <protection hidden="1"/>
    </xf>
    <xf numFmtId="4" fontId="0" fillId="0" borderId="40" xfId="0" applyNumberFormat="1" applyBorder="1" applyAlignment="1">
      <alignment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26" xfId="0" applyFont="1" applyBorder="1" applyAlignment="1">
      <alignment/>
    </xf>
    <xf numFmtId="179" fontId="0" fillId="0" borderId="26" xfId="60" applyFont="1" applyBorder="1" applyAlignment="1">
      <alignment/>
    </xf>
    <xf numFmtId="0" fontId="1" fillId="0" borderId="48" xfId="0" applyFont="1" applyBorder="1" applyAlignment="1" applyProtection="1">
      <alignment/>
      <protection hidden="1"/>
    </xf>
    <xf numFmtId="1" fontId="0" fillId="0" borderId="23" xfId="60" applyNumberFormat="1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/>
      <protection hidden="1"/>
    </xf>
    <xf numFmtId="4" fontId="1" fillId="0" borderId="64" xfId="0" applyNumberFormat="1" applyFont="1" applyBorder="1" applyAlignment="1" applyProtection="1">
      <alignment horizontal="center"/>
      <protection hidden="1"/>
    </xf>
    <xf numFmtId="4" fontId="1" fillId="0" borderId="67" xfId="0" applyNumberFormat="1" applyFont="1" applyBorder="1" applyAlignment="1" applyProtection="1">
      <alignment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4" fontId="1" fillId="0" borderId="11" xfId="0" applyNumberFormat="1" applyFont="1" applyBorder="1" applyAlignment="1" applyProtection="1">
      <alignment horizontal="right"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33" xfId="0" applyFont="1" applyBorder="1" applyAlignment="1" applyProtection="1">
      <alignment/>
      <protection hidden="1"/>
    </xf>
    <xf numFmtId="0" fontId="6" fillId="0" borderId="68" xfId="0" applyFont="1" applyBorder="1" applyAlignment="1" applyProtection="1">
      <alignment horizontal="right"/>
      <protection hidden="1"/>
    </xf>
    <xf numFmtId="1" fontId="1" fillId="0" borderId="57" xfId="60" applyNumberFormat="1" applyFont="1" applyBorder="1" applyAlignment="1">
      <alignment horizontal="left"/>
    </xf>
    <xf numFmtId="179" fontId="0" fillId="0" borderId="14" xfId="60" applyFont="1" applyBorder="1" applyAlignment="1">
      <alignment horizontal="right"/>
    </xf>
    <xf numFmtId="3" fontId="0" fillId="0" borderId="12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68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64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3" fontId="1" fillId="0" borderId="12" xfId="0" applyNumberFormat="1" applyFont="1" applyBorder="1" applyAlignment="1" applyProtection="1">
      <alignment horizontal="center" vertical="justify"/>
      <protection hidden="1"/>
    </xf>
    <xf numFmtId="3" fontId="1" fillId="0" borderId="0" xfId="0" applyNumberFormat="1" applyFont="1" applyBorder="1" applyAlignment="1" applyProtection="1">
      <alignment horizontal="center" vertical="justify"/>
      <protection hidden="1"/>
    </xf>
    <xf numFmtId="3" fontId="1" fillId="0" borderId="69" xfId="0" applyNumberFormat="1" applyFont="1" applyBorder="1" applyAlignment="1" applyProtection="1">
      <alignment horizontal="center" vertical="justify"/>
      <protection hidden="1"/>
    </xf>
    <xf numFmtId="3" fontId="1" fillId="0" borderId="38" xfId="0" applyNumberFormat="1" applyFont="1" applyBorder="1" applyAlignment="1" applyProtection="1">
      <alignment horizontal="center" vertical="justify"/>
      <protection hidden="1"/>
    </xf>
    <xf numFmtId="3" fontId="1" fillId="0" borderId="26" xfId="0" applyNumberFormat="1" applyFont="1" applyBorder="1" applyAlignment="1" applyProtection="1">
      <alignment horizontal="center" vertical="justify"/>
      <protection hidden="1"/>
    </xf>
    <xf numFmtId="3" fontId="1" fillId="0" borderId="39" xfId="0" applyNumberFormat="1" applyFont="1" applyBorder="1" applyAlignment="1" applyProtection="1">
      <alignment horizontal="center" vertical="justify"/>
      <protection hidden="1"/>
    </xf>
    <xf numFmtId="0" fontId="1" fillId="0" borderId="42" xfId="0" applyFont="1" applyBorder="1" applyAlignment="1" applyProtection="1">
      <alignment horizontal="right"/>
      <protection hidden="1"/>
    </xf>
    <xf numFmtId="0" fontId="0" fillId="0" borderId="43" xfId="0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3" fontId="0" fillId="0" borderId="14" xfId="0" applyNumberFormat="1" applyFont="1" applyBorder="1" applyAlignment="1" applyProtection="1">
      <alignment horizontal="center"/>
      <protection hidden="1"/>
    </xf>
    <xf numFmtId="3" fontId="0" fillId="0" borderId="48" xfId="0" applyNumberFormat="1" applyFont="1" applyBorder="1" applyAlignment="1" applyProtection="1">
      <alignment horizontal="center"/>
      <protection hidden="1"/>
    </xf>
    <xf numFmtId="3" fontId="0" fillId="0" borderId="70" xfId="0" applyNumberFormat="1" applyFont="1" applyBorder="1" applyAlignment="1" applyProtection="1">
      <alignment horizontal="center"/>
      <protection hidden="1"/>
    </xf>
    <xf numFmtId="3" fontId="0" fillId="0" borderId="62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/>
      <protection hidden="1"/>
    </xf>
    <xf numFmtId="0" fontId="0" fillId="0" borderId="72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3" fontId="0" fillId="0" borderId="21" xfId="0" applyNumberFormat="1" applyFont="1" applyBorder="1" applyAlignment="1" applyProtection="1">
      <alignment horizontal="center"/>
      <protection hidden="1"/>
    </xf>
    <xf numFmtId="3" fontId="0" fillId="0" borderId="22" xfId="0" applyNumberFormat="1" applyFont="1" applyBorder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1" fillId="0" borderId="73" xfId="0" applyFont="1" applyBorder="1" applyAlignment="1" applyProtection="1">
      <alignment horizontal="center"/>
      <protection hidden="1"/>
    </xf>
    <xf numFmtId="0" fontId="1" fillId="0" borderId="74" xfId="0" applyFont="1" applyBorder="1" applyAlignment="1" applyProtection="1">
      <alignment horizontal="center"/>
      <protection hidden="1"/>
    </xf>
    <xf numFmtId="0" fontId="1" fillId="0" borderId="75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70" xfId="0" applyFont="1" applyBorder="1" applyAlignment="1" applyProtection="1">
      <alignment horizontal="left"/>
      <protection hidden="1"/>
    </xf>
    <xf numFmtId="0" fontId="0" fillId="0" borderId="62" xfId="0" applyFont="1" applyBorder="1" applyAlignment="1" applyProtection="1">
      <alignment horizontal="left"/>
      <protection hidden="1"/>
    </xf>
    <xf numFmtId="3" fontId="1" fillId="0" borderId="71" xfId="0" applyNumberFormat="1" applyFont="1" applyBorder="1" applyAlignment="1" applyProtection="1">
      <alignment horizontal="center"/>
      <protection hidden="1"/>
    </xf>
    <xf numFmtId="3" fontId="1" fillId="0" borderId="72" xfId="0" applyNumberFormat="1" applyFont="1" applyBorder="1" applyAlignment="1" applyProtection="1">
      <alignment horizontal="center"/>
      <protection hidden="1"/>
    </xf>
    <xf numFmtId="3" fontId="1" fillId="0" borderId="60" xfId="0" applyNumberFormat="1" applyFont="1" applyBorder="1" applyAlignment="1" applyProtection="1">
      <alignment horizontal="center"/>
      <protection hidden="1"/>
    </xf>
    <xf numFmtId="3" fontId="0" fillId="0" borderId="53" xfId="0" applyNumberFormat="1" applyFont="1" applyBorder="1" applyAlignment="1" applyProtection="1">
      <alignment horizontal="center"/>
      <protection hidden="1"/>
    </xf>
    <xf numFmtId="3" fontId="0" fillId="0" borderId="73" xfId="0" applyNumberFormat="1" applyFont="1" applyBorder="1" applyAlignment="1" applyProtection="1">
      <alignment horizontal="center"/>
      <protection hidden="1"/>
    </xf>
    <xf numFmtId="3" fontId="0" fillId="0" borderId="74" xfId="0" applyNumberFormat="1" applyFont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/>
      <protection hidden="1"/>
    </xf>
    <xf numFmtId="0" fontId="1" fillId="0" borderId="77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4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70" xfId="0" applyFont="1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/>
      <protection hidden="1"/>
    </xf>
    <xf numFmtId="0" fontId="0" fillId="0" borderId="78" xfId="0" applyFont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79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1" fillId="0" borderId="53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left"/>
      <protection hidden="1"/>
    </xf>
    <xf numFmtId="4" fontId="1" fillId="0" borderId="14" xfId="0" applyNumberFormat="1" applyFont="1" applyBorder="1" applyAlignment="1" applyProtection="1">
      <alignment horizontal="right" wrapText="1"/>
      <protection hidden="1"/>
    </xf>
    <xf numFmtId="4" fontId="1" fillId="0" borderId="40" xfId="0" applyNumberFormat="1" applyFont="1" applyBorder="1" applyAlignment="1" applyProtection="1">
      <alignment horizontal="right" wrapText="1"/>
      <protection hidden="1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3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4" fontId="1" fillId="0" borderId="15" xfId="0" applyNumberFormat="1" applyFont="1" applyBorder="1" applyAlignment="1" applyProtection="1">
      <alignment horizontal="right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0" fontId="7" fillId="0" borderId="73" xfId="0" applyFont="1" applyBorder="1" applyAlignment="1" applyProtection="1">
      <alignment horizontal="center"/>
      <protection hidden="1"/>
    </xf>
    <xf numFmtId="0" fontId="7" fillId="0" borderId="74" xfId="0" applyFont="1" applyBorder="1" applyAlignment="1" applyProtection="1">
      <alignment horizontal="center"/>
      <protection hidden="1"/>
    </xf>
    <xf numFmtId="3" fontId="1" fillId="0" borderId="53" xfId="0" applyNumberFormat="1" applyFont="1" applyBorder="1" applyAlignment="1" applyProtection="1">
      <alignment horizontal="center"/>
      <protection hidden="1"/>
    </xf>
    <xf numFmtId="3" fontId="1" fillId="0" borderId="73" xfId="0" applyNumberFormat="1" applyFont="1" applyBorder="1" applyAlignment="1" applyProtection="1">
      <alignment horizontal="center"/>
      <protection hidden="1"/>
    </xf>
    <xf numFmtId="3" fontId="1" fillId="0" borderId="74" xfId="0" applyNumberFormat="1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80" xfId="0" applyFont="1" applyBorder="1" applyAlignment="1" applyProtection="1">
      <alignment horizontal="center"/>
      <protection hidden="1"/>
    </xf>
    <xf numFmtId="4" fontId="1" fillId="0" borderId="24" xfId="0" applyNumberFormat="1" applyFont="1" applyBorder="1" applyAlignment="1" applyProtection="1">
      <alignment horizontal="center" wrapText="1"/>
      <protection hidden="1"/>
    </xf>
    <xf numFmtId="4" fontId="1" fillId="0" borderId="81" xfId="0" applyNumberFormat="1" applyFont="1" applyBorder="1" applyAlignment="1" applyProtection="1">
      <alignment horizontal="center" wrapText="1"/>
      <protection hidden="1"/>
    </xf>
    <xf numFmtId="0" fontId="6" fillId="0" borderId="67" xfId="0" applyFont="1" applyBorder="1" applyAlignment="1" applyProtection="1">
      <alignment horizontal="right"/>
      <protection hidden="1"/>
    </xf>
    <xf numFmtId="0" fontId="6" fillId="0" borderId="74" xfId="0" applyFont="1" applyBorder="1" applyAlignment="1" applyProtection="1">
      <alignment horizontal="right"/>
      <protection hidden="1"/>
    </xf>
    <xf numFmtId="0" fontId="1" fillId="0" borderId="63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51" xfId="0" applyFont="1" applyBorder="1" applyAlignment="1">
      <alignment horizontal="center"/>
    </xf>
    <xf numFmtId="1" fontId="0" fillId="0" borderId="67" xfId="60" applyNumberFormat="1" applyFont="1" applyBorder="1" applyAlignment="1">
      <alignment horizontal="center"/>
    </xf>
    <xf numFmtId="1" fontId="0" fillId="0" borderId="54" xfId="60" applyNumberFormat="1" applyFont="1" applyBorder="1" applyAlignment="1">
      <alignment horizontal="center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4" fontId="1" fillId="0" borderId="18" xfId="0" applyNumberFormat="1" applyFont="1" applyBorder="1" applyAlignment="1" applyProtection="1">
      <alignment horizontal="right" wrapText="1"/>
      <protection hidden="1"/>
    </xf>
    <xf numFmtId="4" fontId="1" fillId="0" borderId="78" xfId="0" applyNumberFormat="1" applyFont="1" applyBorder="1" applyAlignment="1" applyProtection="1">
      <alignment horizontal="right" wrapText="1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4" fontId="1" fillId="0" borderId="50" xfId="0" applyNumberFormat="1" applyFont="1" applyBorder="1" applyAlignment="1" applyProtection="1">
      <alignment horizontal="right" wrapText="1"/>
      <protection hidden="1"/>
    </xf>
    <xf numFmtId="4" fontId="1" fillId="0" borderId="67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/>
    </xf>
    <xf numFmtId="0" fontId="0" fillId="0" borderId="27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3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4" fontId="1" fillId="0" borderId="18" xfId="0" applyNumberFormat="1" applyFont="1" applyBorder="1" applyAlignment="1" applyProtection="1">
      <alignment horizontal="right"/>
      <protection hidden="1"/>
    </xf>
    <xf numFmtId="4" fontId="1" fillId="0" borderId="19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right" wrapText="1"/>
      <protection hidden="1"/>
    </xf>
    <xf numFmtId="0" fontId="1" fillId="0" borderId="40" xfId="0" applyFont="1" applyBorder="1" applyAlignment="1" applyProtection="1">
      <alignment horizontal="right" wrapText="1"/>
      <protection hidden="1"/>
    </xf>
    <xf numFmtId="0" fontId="1" fillId="0" borderId="69" xfId="0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6" fillId="0" borderId="56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21" xfId="0" applyNumberFormat="1" applyFont="1" applyBorder="1" applyAlignment="1" applyProtection="1">
      <alignment horizontal="center"/>
      <protection hidden="1"/>
    </xf>
    <xf numFmtId="3" fontId="1" fillId="0" borderId="22" xfId="0" applyNumberFormat="1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84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 wrapText="1"/>
      <protection hidden="1"/>
    </xf>
    <xf numFmtId="0" fontId="1" fillId="0" borderId="81" xfId="0" applyFont="1" applyBorder="1" applyAlignment="1" applyProtection="1">
      <alignment horizontal="center" wrapText="1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0" fillId="0" borderId="48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1" fillId="0" borderId="75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" fontId="1" fillId="0" borderId="70" xfId="0" applyNumberFormat="1" applyFont="1" applyBorder="1" applyAlignment="1">
      <alignment horizontal="right"/>
    </xf>
    <xf numFmtId="3" fontId="1" fillId="0" borderId="32" xfId="0" applyNumberFormat="1" applyFont="1" applyBorder="1" applyAlignment="1" applyProtection="1">
      <alignment horizontal="center"/>
      <protection hidden="1"/>
    </xf>
    <xf numFmtId="3" fontId="1" fillId="0" borderId="14" xfId="0" applyNumberFormat="1" applyFont="1" applyBorder="1" applyAlignment="1" applyProtection="1">
      <alignment horizontal="center"/>
      <protection hidden="1"/>
    </xf>
    <xf numFmtId="0" fontId="1" fillId="0" borderId="67" xfId="0" applyFont="1" applyBorder="1" applyAlignment="1" applyProtection="1">
      <alignment horizontal="center"/>
      <protection hidden="1"/>
    </xf>
    <xf numFmtId="0" fontId="6" fillId="0" borderId="68" xfId="0" applyFont="1" applyBorder="1" applyAlignment="1" applyProtection="1">
      <alignment horizontal="right"/>
      <protection hidden="1"/>
    </xf>
    <xf numFmtId="0" fontId="6" fillId="0" borderId="56" xfId="0" applyFont="1" applyBorder="1" applyAlignment="1" applyProtection="1">
      <alignment horizontal="right"/>
      <protection hidden="1"/>
    </xf>
    <xf numFmtId="0" fontId="6" fillId="0" borderId="56" xfId="0" applyFont="1" applyBorder="1" applyAlignment="1" applyProtection="1">
      <alignment horizontal="left"/>
      <protection hidden="1"/>
    </xf>
    <xf numFmtId="0" fontId="6" fillId="0" borderId="57" xfId="0" applyFont="1" applyBorder="1" applyAlignment="1" applyProtection="1">
      <alignment horizontal="left"/>
      <protection hidden="1"/>
    </xf>
    <xf numFmtId="4" fontId="1" fillId="0" borderId="14" xfId="0" applyNumberFormat="1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4" fontId="1" fillId="0" borderId="64" xfId="0" applyNumberFormat="1" applyFont="1" applyBorder="1" applyAlignment="1" applyProtection="1">
      <alignment horizontal="right"/>
      <protection hidden="1"/>
    </xf>
    <xf numFmtId="4" fontId="1" fillId="0" borderId="72" xfId="0" applyNumberFormat="1" applyFont="1" applyBorder="1" applyAlignment="1" applyProtection="1">
      <alignment horizontal="right"/>
      <protection hidden="1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67" xfId="0" applyNumberFormat="1" applyFont="1" applyBorder="1" applyAlignment="1" applyProtection="1">
      <alignment horizontal="right"/>
      <protection hidden="1"/>
    </xf>
    <xf numFmtId="4" fontId="1" fillId="0" borderId="73" xfId="0" applyNumberFormat="1" applyFont="1" applyBorder="1" applyAlignment="1" applyProtection="1">
      <alignment horizontal="right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right"/>
      <protection hidden="1"/>
    </xf>
    <xf numFmtId="4" fontId="1" fillId="0" borderId="40" xfId="0" applyNumberFormat="1" applyFont="1" applyBorder="1" applyAlignment="1" applyProtection="1">
      <alignment horizontal="right"/>
      <protection hidden="1"/>
    </xf>
    <xf numFmtId="4" fontId="1" fillId="0" borderId="70" xfId="0" applyNumberFormat="1" applyFont="1" applyBorder="1" applyAlignment="1" applyProtection="1">
      <alignment horizontal="right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1">
      <selection activeCell="K36" sqref="K36"/>
    </sheetView>
  </sheetViews>
  <sheetFormatPr defaultColWidth="9.140625" defaultRowHeight="12.75"/>
  <cols>
    <col min="1" max="1" width="28.7109375" style="0" customWidth="1"/>
    <col min="2" max="2" width="1.57421875" style="0" customWidth="1"/>
    <col min="4" max="4" width="15.140625" style="0" customWidth="1"/>
    <col min="5" max="5" width="19.57421875" style="0" hidden="1" customWidth="1"/>
    <col min="6" max="6" width="13.421875" style="0" customWidth="1"/>
    <col min="8" max="8" width="11.421875" style="0" customWidth="1"/>
    <col min="9" max="9" width="21.28125" style="0" customWidth="1"/>
    <col min="10" max="10" width="17.7109375" style="0" customWidth="1"/>
    <col min="11" max="11" width="12.28125" style="0" bestFit="1" customWidth="1"/>
    <col min="12" max="12" width="12.8515625" style="0" bestFit="1" customWidth="1"/>
    <col min="13" max="13" width="12.28125" style="0" bestFit="1" customWidth="1"/>
  </cols>
  <sheetData>
    <row r="1" spans="1:13" ht="15.75">
      <c r="A1" s="249" t="s">
        <v>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5.75">
      <c r="A2" s="249"/>
      <c r="B2" s="250"/>
      <c r="C2" s="250"/>
      <c r="D2" s="250"/>
      <c r="E2" s="250"/>
      <c r="F2" s="250"/>
      <c r="G2" s="250"/>
      <c r="H2" s="1"/>
      <c r="I2" s="1"/>
      <c r="J2" s="1"/>
      <c r="K2" s="1"/>
      <c r="L2" s="2"/>
      <c r="M2" s="2"/>
    </row>
    <row r="3" spans="1:13" ht="16.5" thickBot="1">
      <c r="A3" s="251" t="s">
        <v>2</v>
      </c>
      <c r="B3" s="251"/>
      <c r="C3" s="252"/>
      <c r="D3" s="252"/>
      <c r="E3" s="252"/>
      <c r="F3" s="252"/>
      <c r="G3" s="4"/>
      <c r="H3" s="3" t="s">
        <v>3</v>
      </c>
      <c r="I3" s="96"/>
      <c r="J3" s="3" t="s">
        <v>4</v>
      </c>
      <c r="K3" s="95"/>
      <c r="L3" s="2"/>
      <c r="M3" s="2"/>
    </row>
    <row r="4" spans="1:1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240" t="s">
        <v>5</v>
      </c>
      <c r="L4" s="241"/>
      <c r="M4" s="242"/>
    </row>
    <row r="5" spans="1:13" ht="12.75">
      <c r="A5" s="243" t="s">
        <v>6</v>
      </c>
      <c r="B5" s="244"/>
      <c r="C5" s="244"/>
      <c r="D5" s="244"/>
      <c r="E5" s="244"/>
      <c r="F5" s="6" t="s">
        <v>7</v>
      </c>
      <c r="G5" s="243" t="s">
        <v>8</v>
      </c>
      <c r="H5" s="245"/>
      <c r="I5" s="245"/>
      <c r="J5" s="246"/>
      <c r="K5" s="8" t="s">
        <v>9</v>
      </c>
      <c r="L5" s="9" t="s">
        <v>10</v>
      </c>
      <c r="M5" s="10" t="s">
        <v>11</v>
      </c>
    </row>
    <row r="6" spans="1:13" ht="12.75">
      <c r="A6" s="247"/>
      <c r="B6" s="248"/>
      <c r="C6" s="248"/>
      <c r="D6" s="248"/>
      <c r="E6" s="248"/>
      <c r="F6" s="13"/>
      <c r="G6" s="87"/>
      <c r="H6" s="12"/>
      <c r="I6" s="12"/>
      <c r="J6" s="12"/>
      <c r="K6" s="14"/>
      <c r="L6" s="15"/>
      <c r="M6" s="16"/>
    </row>
    <row r="7" spans="1:13" ht="12.75">
      <c r="A7" s="247" t="s">
        <v>12</v>
      </c>
      <c r="B7" s="248"/>
      <c r="C7" s="248"/>
      <c r="D7" s="248"/>
      <c r="E7" s="248"/>
      <c r="F7" s="97"/>
      <c r="G7" s="238" t="s">
        <v>89</v>
      </c>
      <c r="H7" s="239"/>
      <c r="I7" s="239"/>
      <c r="J7" s="239"/>
      <c r="K7" s="98"/>
      <c r="L7" s="99"/>
      <c r="M7" s="100"/>
    </row>
    <row r="8" spans="1:13" ht="12.75">
      <c r="A8" s="253" t="s">
        <v>13</v>
      </c>
      <c r="B8" s="248"/>
      <c r="C8" s="248"/>
      <c r="D8" s="248"/>
      <c r="E8" s="248"/>
      <c r="F8" s="97"/>
      <c r="G8" s="247" t="s">
        <v>85</v>
      </c>
      <c r="H8" s="248"/>
      <c r="I8" s="248"/>
      <c r="J8" s="248"/>
      <c r="K8" s="98"/>
      <c r="L8" s="99"/>
      <c r="M8" s="100"/>
    </row>
    <row r="9" spans="1:13" ht="12.75">
      <c r="A9" s="253" t="s">
        <v>14</v>
      </c>
      <c r="B9" s="248"/>
      <c r="C9" s="248"/>
      <c r="D9" s="248"/>
      <c r="E9" s="248"/>
      <c r="F9" s="97"/>
      <c r="G9" s="238" t="s">
        <v>86</v>
      </c>
      <c r="H9" s="239"/>
      <c r="I9" s="239"/>
      <c r="J9" s="239"/>
      <c r="K9" s="98"/>
      <c r="L9" s="99"/>
      <c r="M9" s="100"/>
    </row>
    <row r="10" spans="1:13" ht="12.75">
      <c r="A10" s="247" t="s">
        <v>15</v>
      </c>
      <c r="B10" s="248"/>
      <c r="C10" s="248"/>
      <c r="D10" s="248"/>
      <c r="E10" s="248"/>
      <c r="F10" s="97"/>
      <c r="G10" s="238" t="s">
        <v>87</v>
      </c>
      <c r="H10" s="239"/>
      <c r="I10" s="239"/>
      <c r="J10" s="239"/>
      <c r="K10" s="98"/>
      <c r="L10" s="99"/>
      <c r="M10" s="100"/>
    </row>
    <row r="11" spans="1:13" ht="12.75">
      <c r="A11" s="247" t="s">
        <v>16</v>
      </c>
      <c r="B11" s="248"/>
      <c r="C11" s="248"/>
      <c r="D11" s="248"/>
      <c r="E11" s="248"/>
      <c r="F11" s="97"/>
      <c r="G11" s="247" t="s">
        <v>17</v>
      </c>
      <c r="H11" s="248"/>
      <c r="I11" s="248"/>
      <c r="J11" s="248"/>
      <c r="K11" s="98"/>
      <c r="L11" s="98"/>
      <c r="M11" s="97"/>
    </row>
    <row r="12" spans="1:13" ht="12.75">
      <c r="A12" s="247" t="s">
        <v>18</v>
      </c>
      <c r="B12" s="248"/>
      <c r="C12" s="248"/>
      <c r="D12" s="248"/>
      <c r="E12" s="248"/>
      <c r="F12" s="97"/>
      <c r="G12" s="19" t="s">
        <v>19</v>
      </c>
      <c r="H12" s="257" t="s">
        <v>20</v>
      </c>
      <c r="I12" s="257"/>
      <c r="J12" s="257"/>
      <c r="K12" s="20">
        <f>SUM(K6:K11)</f>
        <v>0</v>
      </c>
      <c r="L12" s="20">
        <f>SUM(L6:L11)</f>
        <v>0</v>
      </c>
      <c r="M12" s="21">
        <f>SUM(M6:M11)</f>
        <v>0</v>
      </c>
    </row>
    <row r="13" spans="1:13" ht="12.75">
      <c r="A13" s="253" t="s">
        <v>21</v>
      </c>
      <c r="B13" s="248"/>
      <c r="C13" s="248"/>
      <c r="D13" s="248"/>
      <c r="E13" s="248"/>
      <c r="F13" s="97"/>
      <c r="G13" s="22" t="s">
        <v>22</v>
      </c>
      <c r="H13" s="248" t="s">
        <v>23</v>
      </c>
      <c r="I13" s="248"/>
      <c r="J13" s="248"/>
      <c r="K13" s="98">
        <f>F22+F23+F24-F30-K14-F31</f>
        <v>0</v>
      </c>
      <c r="L13" s="98">
        <f>K13</f>
        <v>0</v>
      </c>
      <c r="M13" s="97">
        <f>K13</f>
        <v>0</v>
      </c>
    </row>
    <row r="14" spans="1:13" ht="12.75">
      <c r="A14" s="253" t="s">
        <v>24</v>
      </c>
      <c r="B14" s="248"/>
      <c r="C14" s="248"/>
      <c r="D14" s="248"/>
      <c r="E14" s="248"/>
      <c r="F14" s="97"/>
      <c r="G14" s="22" t="s">
        <v>22</v>
      </c>
      <c r="H14" s="248" t="s">
        <v>25</v>
      </c>
      <c r="I14" s="248"/>
      <c r="J14" s="248"/>
      <c r="K14" s="98">
        <v>0</v>
      </c>
      <c r="L14" s="98">
        <f>K14</f>
        <v>0</v>
      </c>
      <c r="M14" s="97">
        <f>K14</f>
        <v>0</v>
      </c>
    </row>
    <row r="15" spans="1:13" ht="12.75">
      <c r="A15" s="247" t="s">
        <v>26</v>
      </c>
      <c r="B15" s="248"/>
      <c r="C15" s="248"/>
      <c r="D15" s="248"/>
      <c r="E15" s="248"/>
      <c r="F15" s="97"/>
      <c r="G15" s="22" t="s">
        <v>22</v>
      </c>
      <c r="H15" s="248" t="s">
        <v>27</v>
      </c>
      <c r="I15" s="248"/>
      <c r="J15" s="248"/>
      <c r="K15" s="98"/>
      <c r="L15" s="98"/>
      <c r="M15" s="97"/>
    </row>
    <row r="16" spans="1:13" ht="12.75">
      <c r="A16" s="247" t="s">
        <v>28</v>
      </c>
      <c r="B16" s="248"/>
      <c r="C16" s="248"/>
      <c r="D16" s="248"/>
      <c r="E16" s="248"/>
      <c r="F16" s="97"/>
      <c r="G16" s="19" t="s">
        <v>19</v>
      </c>
      <c r="H16" s="23" t="s">
        <v>29</v>
      </c>
      <c r="I16" s="23"/>
      <c r="J16" s="23"/>
      <c r="K16" s="20">
        <f>K12-K13-K14-K15</f>
        <v>0</v>
      </c>
      <c r="L16" s="20">
        <f>L12-L13-L14-L15</f>
        <v>0</v>
      </c>
      <c r="M16" s="21">
        <f>M12-M13-M14-M15</f>
        <v>0</v>
      </c>
    </row>
    <row r="17" spans="1:13" ht="12.75">
      <c r="A17" s="11" t="s">
        <v>30</v>
      </c>
      <c r="B17" s="12"/>
      <c r="C17" s="12"/>
      <c r="D17" s="12"/>
      <c r="E17" s="12"/>
      <c r="F17" s="97"/>
      <c r="G17" s="22" t="s">
        <v>31</v>
      </c>
      <c r="H17" s="12" t="s">
        <v>32</v>
      </c>
      <c r="I17" s="7"/>
      <c r="J17" s="7"/>
      <c r="K17" s="98"/>
      <c r="L17" s="99"/>
      <c r="M17" s="100"/>
    </row>
    <row r="18" spans="1:13" ht="12.75">
      <c r="A18" s="24" t="s">
        <v>33</v>
      </c>
      <c r="B18" s="7"/>
      <c r="C18" s="7"/>
      <c r="D18" s="7"/>
      <c r="E18" s="7"/>
      <c r="F18" s="97"/>
      <c r="G18" s="22" t="s">
        <v>31</v>
      </c>
      <c r="H18" s="12" t="s">
        <v>34</v>
      </c>
      <c r="I18" s="12"/>
      <c r="J18" s="12"/>
      <c r="K18" s="98"/>
      <c r="L18" s="99"/>
      <c r="M18" s="100"/>
    </row>
    <row r="19" spans="1:13" ht="12.75">
      <c r="A19" s="247" t="s">
        <v>35</v>
      </c>
      <c r="B19" s="248"/>
      <c r="C19" s="248"/>
      <c r="D19" s="248"/>
      <c r="E19" s="248"/>
      <c r="F19" s="97"/>
      <c r="G19" s="22" t="s">
        <v>31</v>
      </c>
      <c r="H19" s="12" t="s">
        <v>36</v>
      </c>
      <c r="I19" s="12"/>
      <c r="J19" s="12"/>
      <c r="K19" s="14">
        <f>IF(K23&gt;F25,K23-F25,0)</f>
        <v>0</v>
      </c>
      <c r="L19" s="14">
        <f>L23-F25</f>
        <v>0</v>
      </c>
      <c r="M19" s="17">
        <f>M23-F25</f>
        <v>0</v>
      </c>
    </row>
    <row r="20" spans="1:13" ht="12.75">
      <c r="A20" s="258" t="s">
        <v>37</v>
      </c>
      <c r="B20" s="259"/>
      <c r="C20" s="259"/>
      <c r="D20" s="259"/>
      <c r="E20" s="259"/>
      <c r="F20" s="21">
        <f>SUM(F7:F19)</f>
        <v>0</v>
      </c>
      <c r="G20" s="25" t="s">
        <v>22</v>
      </c>
      <c r="H20" s="7" t="s">
        <v>38</v>
      </c>
      <c r="I20" s="7"/>
      <c r="J20" s="7"/>
      <c r="K20" s="117">
        <v>0</v>
      </c>
      <c r="L20" s="117">
        <v>0</v>
      </c>
      <c r="M20" s="118">
        <v>0</v>
      </c>
    </row>
    <row r="21" spans="1:13" ht="13.5" thickBot="1">
      <c r="A21" s="247"/>
      <c r="B21" s="248"/>
      <c r="C21" s="248"/>
      <c r="D21" s="248"/>
      <c r="E21" s="248"/>
      <c r="F21" s="26"/>
      <c r="G21" s="88" t="s">
        <v>19</v>
      </c>
      <c r="H21" s="89" t="s">
        <v>39</v>
      </c>
      <c r="I21" s="89"/>
      <c r="J21" s="89"/>
      <c r="K21" s="90">
        <f>SUM(K16:K19)-K20</f>
        <v>0</v>
      </c>
      <c r="L21" s="90">
        <f>SUM(L16:L19)-L20</f>
        <v>0</v>
      </c>
      <c r="M21" s="91">
        <f>SUM(M16:M19)-M20</f>
        <v>0</v>
      </c>
    </row>
    <row r="22" spans="1:13" ht="13.5" thickBot="1">
      <c r="A22" s="247" t="s">
        <v>40</v>
      </c>
      <c r="B22" s="248"/>
      <c r="C22" s="248"/>
      <c r="D22" s="248"/>
      <c r="E22" s="248"/>
      <c r="F22" s="97"/>
      <c r="G22" s="254" t="s">
        <v>41</v>
      </c>
      <c r="H22" s="255"/>
      <c r="I22" s="255"/>
      <c r="J22" s="256"/>
      <c r="K22" s="111" t="e">
        <f>K21/F20</f>
        <v>#DIV/0!</v>
      </c>
      <c r="L22" s="112" t="e">
        <f>L21/F20</f>
        <v>#DIV/0!</v>
      </c>
      <c r="M22" s="113" t="e">
        <f>M21/F20</f>
        <v>#DIV/0!</v>
      </c>
    </row>
    <row r="23" spans="1:13" ht="12.75">
      <c r="A23" s="247" t="s">
        <v>42</v>
      </c>
      <c r="B23" s="248"/>
      <c r="C23" s="248"/>
      <c r="D23" s="248"/>
      <c r="E23" s="248"/>
      <c r="F23" s="106"/>
      <c r="G23" s="267" t="s">
        <v>43</v>
      </c>
      <c r="H23" s="268"/>
      <c r="I23" s="268"/>
      <c r="J23" s="268"/>
      <c r="K23" s="114"/>
      <c r="L23" s="114"/>
      <c r="M23" s="115"/>
    </row>
    <row r="24" spans="1:13" ht="13.5" thickBot="1">
      <c r="A24" s="247" t="s">
        <v>44</v>
      </c>
      <c r="B24" s="248"/>
      <c r="C24" s="248"/>
      <c r="D24" s="248"/>
      <c r="E24" s="248"/>
      <c r="F24" s="106"/>
      <c r="G24" s="269"/>
      <c r="H24" s="270"/>
      <c r="I24" s="270"/>
      <c r="J24" s="270"/>
      <c r="K24" s="29"/>
      <c r="L24" s="30"/>
      <c r="M24" s="31"/>
    </row>
    <row r="25" spans="1:13" ht="12.75">
      <c r="A25" s="247" t="s">
        <v>45</v>
      </c>
      <c r="B25" s="248"/>
      <c r="C25" s="248"/>
      <c r="D25" s="248"/>
      <c r="E25" s="248"/>
      <c r="F25" s="106"/>
      <c r="G25" s="32"/>
      <c r="H25" s="12" t="s">
        <v>46</v>
      </c>
      <c r="I25" s="12"/>
      <c r="J25" s="12"/>
      <c r="K25" s="33" t="e">
        <f>(K17+K18)/(F25+F26)</f>
        <v>#DIV/0!</v>
      </c>
      <c r="L25" s="34" t="e">
        <f>(L17+L18)/(F25+F26)</f>
        <v>#DIV/0!</v>
      </c>
      <c r="M25" s="35" t="e">
        <f>(M17+M18)/(F25+F26)</f>
        <v>#DIV/0!</v>
      </c>
    </row>
    <row r="26" spans="1:13" ht="13.5" thickBot="1">
      <c r="A26" s="18" t="s">
        <v>47</v>
      </c>
      <c r="B26" s="12"/>
      <c r="C26" s="12"/>
      <c r="D26" s="12"/>
      <c r="E26" s="12"/>
      <c r="F26" s="106"/>
      <c r="G26" s="32"/>
      <c r="H26" s="7" t="s">
        <v>48</v>
      </c>
      <c r="I26" s="23"/>
      <c r="J26" s="23"/>
      <c r="K26" s="36" t="e">
        <f>K17/(F25+F26)</f>
        <v>#DIV/0!</v>
      </c>
      <c r="L26" s="37" t="e">
        <f>L17/(F25+F26)</f>
        <v>#DIV/0!</v>
      </c>
      <c r="M26" s="38" t="e">
        <f>M17/(F25+F26)</f>
        <v>#DIV/0!</v>
      </c>
    </row>
    <row r="27" spans="1:13" ht="12.75">
      <c r="A27" s="258" t="s">
        <v>49</v>
      </c>
      <c r="B27" s="248"/>
      <c r="C27" s="248"/>
      <c r="D27" s="248"/>
      <c r="E27" s="248"/>
      <c r="F27" s="107">
        <f>SUM(F22:F26)</f>
        <v>0</v>
      </c>
      <c r="G27" s="39"/>
      <c r="H27" s="23"/>
      <c r="I27" s="23"/>
      <c r="J27" s="23"/>
      <c r="K27" s="40"/>
      <c r="L27" s="41"/>
      <c r="M27" s="42"/>
    </row>
    <row r="28" spans="1:13" ht="13.5" thickBot="1">
      <c r="A28" s="258"/>
      <c r="B28" s="248"/>
      <c r="C28" s="248"/>
      <c r="D28" s="248"/>
      <c r="E28" s="248"/>
      <c r="F28" s="108"/>
      <c r="G28" s="39"/>
      <c r="H28" s="23"/>
      <c r="I28" s="23"/>
      <c r="J28" s="23"/>
      <c r="K28" s="101"/>
      <c r="L28" s="30"/>
      <c r="M28" s="31"/>
    </row>
    <row r="29" spans="1:13" ht="13.5" thickBot="1">
      <c r="A29" s="258" t="s">
        <v>50</v>
      </c>
      <c r="B29" s="248"/>
      <c r="C29" s="248"/>
      <c r="D29" s="248"/>
      <c r="E29" s="248"/>
      <c r="F29" s="109">
        <f>SUM(F20,F27)</f>
        <v>0</v>
      </c>
      <c r="G29" s="261" t="s">
        <v>51</v>
      </c>
      <c r="H29" s="262"/>
      <c r="I29" s="262"/>
      <c r="J29" s="262"/>
      <c r="K29" s="103"/>
      <c r="L29" s="104"/>
      <c r="M29" s="105"/>
    </row>
    <row r="30" spans="1:13" ht="12.75">
      <c r="A30" s="93" t="s">
        <v>81</v>
      </c>
      <c r="B30" s="12"/>
      <c r="C30" s="12"/>
      <c r="D30" s="12"/>
      <c r="E30" s="12"/>
      <c r="F30" s="110"/>
      <c r="G30" s="261"/>
      <c r="H30" s="262"/>
      <c r="I30" s="262"/>
      <c r="J30" s="263"/>
      <c r="K30" s="102"/>
      <c r="L30" s="102"/>
      <c r="M30" s="116"/>
    </row>
    <row r="31" spans="1:13" ht="15.75" thickBot="1">
      <c r="A31" s="94" t="s">
        <v>88</v>
      </c>
      <c r="B31" s="43"/>
      <c r="C31" s="44"/>
      <c r="D31" s="44"/>
      <c r="E31" s="92"/>
      <c r="F31" s="119">
        <v>0</v>
      </c>
      <c r="G31" s="264"/>
      <c r="H31" s="265"/>
      <c r="I31" s="265"/>
      <c r="J31" s="266"/>
      <c r="K31" s="45"/>
      <c r="L31" s="46"/>
      <c r="M31" s="47"/>
    </row>
    <row r="32" spans="12:13" ht="12.75">
      <c r="L32" s="2"/>
      <c r="M32" s="2"/>
    </row>
    <row r="33" spans="12:13" ht="12.75">
      <c r="L33" s="2"/>
      <c r="M33" s="2"/>
    </row>
    <row r="34" spans="1:13" ht="12.75">
      <c r="A34" s="48"/>
      <c r="C34" s="48"/>
      <c r="D34" s="48"/>
      <c r="E34" s="48"/>
      <c r="F34" s="48"/>
      <c r="H34" s="48"/>
      <c r="I34" s="48"/>
      <c r="J34" s="48"/>
      <c r="L34" s="49"/>
      <c r="M34" s="49"/>
    </row>
    <row r="35" spans="1:13" ht="12.75">
      <c r="A35" s="50" t="s">
        <v>52</v>
      </c>
      <c r="C35" s="260" t="s">
        <v>53</v>
      </c>
      <c r="D35" s="260"/>
      <c r="E35" s="260"/>
      <c r="F35" s="260"/>
      <c r="H35" s="260" t="s">
        <v>54</v>
      </c>
      <c r="I35" s="260"/>
      <c r="J35" s="260"/>
      <c r="L35" s="260" t="s">
        <v>55</v>
      </c>
      <c r="M35" s="260"/>
    </row>
    <row r="36" spans="12:13" ht="12.75">
      <c r="L36" s="2"/>
      <c r="M36" s="2"/>
    </row>
    <row r="37" spans="12:13" ht="12.75">
      <c r="L37" s="2"/>
      <c r="M37" s="2"/>
    </row>
    <row r="38" spans="12:13" ht="12.75">
      <c r="L38" s="2"/>
      <c r="M38" s="2"/>
    </row>
  </sheetData>
  <sheetProtection password="C776" sheet="1"/>
  <mergeCells count="44">
    <mergeCell ref="L35:M35"/>
    <mergeCell ref="G29:J31"/>
    <mergeCell ref="G23:J23"/>
    <mergeCell ref="A24:E24"/>
    <mergeCell ref="G24:J24"/>
    <mergeCell ref="A25:E25"/>
    <mergeCell ref="A29:E29"/>
    <mergeCell ref="C35:F35"/>
    <mergeCell ref="H35:J35"/>
    <mergeCell ref="A27:E27"/>
    <mergeCell ref="A28:E28"/>
    <mergeCell ref="A16:E16"/>
    <mergeCell ref="A19:E19"/>
    <mergeCell ref="A20:E20"/>
    <mergeCell ref="A21:E21"/>
    <mergeCell ref="A22:E22"/>
    <mergeCell ref="A23:E23"/>
    <mergeCell ref="G22:J22"/>
    <mergeCell ref="A15:E15"/>
    <mergeCell ref="H15:J15"/>
    <mergeCell ref="A10:E10"/>
    <mergeCell ref="H12:J12"/>
    <mergeCell ref="A14:E14"/>
    <mergeCell ref="H14:J14"/>
    <mergeCell ref="A13:E13"/>
    <mergeCell ref="H13:J13"/>
    <mergeCell ref="A12:E12"/>
    <mergeCell ref="A11:E11"/>
    <mergeCell ref="G11:J11"/>
    <mergeCell ref="A1:M1"/>
    <mergeCell ref="A2:G2"/>
    <mergeCell ref="A3:B3"/>
    <mergeCell ref="C3:F3"/>
    <mergeCell ref="G7:J7"/>
    <mergeCell ref="A8:E8"/>
    <mergeCell ref="G8:J8"/>
    <mergeCell ref="A9:E9"/>
    <mergeCell ref="G10:J10"/>
    <mergeCell ref="K4:M4"/>
    <mergeCell ref="A5:E5"/>
    <mergeCell ref="G5:J5"/>
    <mergeCell ref="A6:E6"/>
    <mergeCell ref="G9:J9"/>
    <mergeCell ref="A7:E7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C4">
      <selection activeCell="A36" sqref="A36:E37"/>
    </sheetView>
  </sheetViews>
  <sheetFormatPr defaultColWidth="9.140625" defaultRowHeight="12.75"/>
  <cols>
    <col min="1" max="1" width="26.28125" style="0" customWidth="1"/>
    <col min="2" max="2" width="3.421875" style="0" customWidth="1"/>
    <col min="5" max="5" width="17.28125" style="0" customWidth="1"/>
    <col min="6" max="6" width="11.7109375" style="0" bestFit="1" customWidth="1"/>
    <col min="7" max="7" width="4.421875" style="0" customWidth="1"/>
    <col min="8" max="8" width="11.28125" style="0" customWidth="1"/>
    <col min="10" max="10" width="18.421875" style="0" customWidth="1"/>
    <col min="11" max="13" width="12.7109375" style="0" customWidth="1"/>
  </cols>
  <sheetData>
    <row r="1" spans="1:13" ht="15.75">
      <c r="A1" s="249" t="s">
        <v>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5.75">
      <c r="A2" s="249"/>
      <c r="B2" s="250"/>
      <c r="C2" s="250"/>
      <c r="D2" s="250"/>
      <c r="E2" s="250"/>
      <c r="F2" s="250"/>
      <c r="G2" s="250"/>
      <c r="H2" s="1"/>
      <c r="I2" s="1"/>
      <c r="J2" s="1"/>
      <c r="K2" s="1"/>
      <c r="L2" s="2"/>
      <c r="M2" s="2"/>
    </row>
    <row r="3" spans="1:13" ht="16.5" thickBot="1">
      <c r="A3" s="251" t="s">
        <v>2</v>
      </c>
      <c r="B3" s="251"/>
      <c r="C3" s="252"/>
      <c r="D3" s="252"/>
      <c r="E3" s="252"/>
      <c r="F3" s="252"/>
      <c r="G3" s="4"/>
      <c r="H3" s="3" t="s">
        <v>3</v>
      </c>
      <c r="I3" s="280"/>
      <c r="J3" s="281"/>
      <c r="K3" s="51" t="s">
        <v>4</v>
      </c>
      <c r="L3" s="120"/>
      <c r="M3" s="2"/>
    </row>
    <row r="4" spans="1:13" ht="16.5" thickBot="1">
      <c r="A4" s="250"/>
      <c r="B4" s="250"/>
      <c r="C4" s="250"/>
      <c r="D4" s="250"/>
      <c r="E4" s="250"/>
      <c r="F4" s="250"/>
      <c r="G4" s="250"/>
      <c r="H4" s="250"/>
      <c r="I4" s="250"/>
      <c r="J4" s="282"/>
      <c r="K4" s="240" t="s">
        <v>5</v>
      </c>
      <c r="L4" s="241"/>
      <c r="M4" s="242"/>
    </row>
    <row r="5" spans="1:13" ht="12.75">
      <c r="A5" s="283" t="s">
        <v>6</v>
      </c>
      <c r="B5" s="284"/>
      <c r="C5" s="284"/>
      <c r="D5" s="284"/>
      <c r="E5" s="285"/>
      <c r="F5" s="6" t="s">
        <v>7</v>
      </c>
      <c r="G5" s="283" t="s">
        <v>57</v>
      </c>
      <c r="H5" s="288"/>
      <c r="I5" s="288"/>
      <c r="J5" s="289"/>
      <c r="K5" s="8" t="s">
        <v>9</v>
      </c>
      <c r="L5" s="9" t="s">
        <v>10</v>
      </c>
      <c r="M5" s="10" t="s">
        <v>11</v>
      </c>
    </row>
    <row r="6" spans="1:13" ht="12.75">
      <c r="A6" s="276"/>
      <c r="B6" s="277"/>
      <c r="C6" s="277"/>
      <c r="D6" s="277"/>
      <c r="E6" s="277"/>
      <c r="F6" s="53"/>
      <c r="G6" s="273"/>
      <c r="H6" s="274"/>
      <c r="I6" s="274"/>
      <c r="J6" s="275"/>
      <c r="K6" s="52"/>
      <c r="L6" s="15"/>
      <c r="M6" s="16"/>
    </row>
    <row r="7" spans="1:13" ht="12.75">
      <c r="A7" s="276" t="s">
        <v>12</v>
      </c>
      <c r="B7" s="277"/>
      <c r="C7" s="277"/>
      <c r="D7" s="277"/>
      <c r="E7" s="277"/>
      <c r="F7" s="97"/>
      <c r="G7" s="278" t="s">
        <v>58</v>
      </c>
      <c r="H7" s="279"/>
      <c r="I7" s="279"/>
      <c r="J7" s="279"/>
      <c r="K7" s="98"/>
      <c r="L7" s="99"/>
      <c r="M7" s="100"/>
    </row>
    <row r="8" spans="1:13" ht="12.75">
      <c r="A8" s="296" t="s">
        <v>13</v>
      </c>
      <c r="B8" s="277"/>
      <c r="C8" s="277"/>
      <c r="D8" s="277"/>
      <c r="E8" s="277"/>
      <c r="F8" s="97"/>
      <c r="G8" s="276" t="s">
        <v>59</v>
      </c>
      <c r="H8" s="277"/>
      <c r="I8" s="277"/>
      <c r="J8" s="277"/>
      <c r="K8" s="98"/>
      <c r="L8" s="99"/>
      <c r="M8" s="100"/>
    </row>
    <row r="9" spans="1:13" ht="12.75">
      <c r="A9" s="296" t="s">
        <v>14</v>
      </c>
      <c r="B9" s="277"/>
      <c r="C9" s="277"/>
      <c r="D9" s="277"/>
      <c r="E9" s="277"/>
      <c r="F9" s="97"/>
      <c r="G9" s="278" t="s">
        <v>60</v>
      </c>
      <c r="H9" s="279"/>
      <c r="I9" s="279"/>
      <c r="J9" s="279"/>
      <c r="K9" s="98"/>
      <c r="L9" s="99"/>
      <c r="M9" s="100"/>
    </row>
    <row r="10" spans="1:13" ht="12.75">
      <c r="A10" s="276" t="s">
        <v>15</v>
      </c>
      <c r="B10" s="277"/>
      <c r="C10" s="277"/>
      <c r="D10" s="277"/>
      <c r="E10" s="277"/>
      <c r="F10" s="97"/>
      <c r="G10" s="278" t="s">
        <v>61</v>
      </c>
      <c r="H10" s="279"/>
      <c r="I10" s="279"/>
      <c r="J10" s="279"/>
      <c r="K10" s="98"/>
      <c r="L10" s="99"/>
      <c r="M10" s="100"/>
    </row>
    <row r="11" spans="1:13" ht="12.75">
      <c r="A11" s="276" t="s">
        <v>16</v>
      </c>
      <c r="B11" s="277"/>
      <c r="C11" s="277"/>
      <c r="D11" s="277"/>
      <c r="E11" s="277"/>
      <c r="F11" s="97"/>
      <c r="G11" s="278" t="s">
        <v>62</v>
      </c>
      <c r="H11" s="277"/>
      <c r="I11" s="277"/>
      <c r="J11" s="277"/>
      <c r="K11" s="98"/>
      <c r="L11" s="98"/>
      <c r="M11" s="97"/>
    </row>
    <row r="12" spans="1:13" ht="12.75">
      <c r="A12" s="276" t="s">
        <v>18</v>
      </c>
      <c r="B12" s="277"/>
      <c r="C12" s="277"/>
      <c r="D12" s="277"/>
      <c r="E12" s="277"/>
      <c r="F12" s="97"/>
      <c r="G12" s="271"/>
      <c r="H12" s="272"/>
      <c r="I12" s="272"/>
      <c r="J12" s="272"/>
      <c r="K12" s="123"/>
      <c r="L12" s="99"/>
      <c r="M12" s="100"/>
    </row>
    <row r="13" spans="1:13" ht="12.75">
      <c r="A13" s="296" t="s">
        <v>21</v>
      </c>
      <c r="B13" s="277"/>
      <c r="C13" s="277"/>
      <c r="D13" s="277"/>
      <c r="E13" s="277"/>
      <c r="F13" s="97"/>
      <c r="G13" s="271"/>
      <c r="H13" s="272"/>
      <c r="I13" s="272"/>
      <c r="J13" s="272"/>
      <c r="K13" s="123"/>
      <c r="L13" s="99"/>
      <c r="M13" s="100"/>
    </row>
    <row r="14" spans="1:13" ht="12.75">
      <c r="A14" s="296" t="s">
        <v>24</v>
      </c>
      <c r="B14" s="277"/>
      <c r="C14" s="277"/>
      <c r="D14" s="277"/>
      <c r="E14" s="277"/>
      <c r="F14" s="97"/>
      <c r="G14" s="271"/>
      <c r="H14" s="272"/>
      <c r="I14" s="272"/>
      <c r="J14" s="272"/>
      <c r="K14" s="123"/>
      <c r="L14" s="99"/>
      <c r="M14" s="100"/>
    </row>
    <row r="15" spans="1:13" ht="12.75">
      <c r="A15" s="276" t="s">
        <v>26</v>
      </c>
      <c r="B15" s="277"/>
      <c r="C15" s="277"/>
      <c r="D15" s="277"/>
      <c r="E15" s="277"/>
      <c r="F15" s="97"/>
      <c r="G15" s="271"/>
      <c r="H15" s="272"/>
      <c r="I15" s="272"/>
      <c r="J15" s="272"/>
      <c r="K15" s="123"/>
      <c r="L15" s="99"/>
      <c r="M15" s="100"/>
    </row>
    <row r="16" spans="1:13" ht="13.5" thickBot="1">
      <c r="A16" s="276" t="s">
        <v>28</v>
      </c>
      <c r="B16" s="277"/>
      <c r="C16" s="277"/>
      <c r="D16" s="277"/>
      <c r="E16" s="277"/>
      <c r="F16" s="97"/>
      <c r="G16" s="286"/>
      <c r="H16" s="287"/>
      <c r="I16" s="287"/>
      <c r="J16" s="287"/>
      <c r="K16" s="124"/>
      <c r="L16" s="125"/>
      <c r="M16" s="126"/>
    </row>
    <row r="17" spans="1:13" ht="12.75">
      <c r="A17" s="297" t="s">
        <v>30</v>
      </c>
      <c r="B17" s="298"/>
      <c r="C17" s="298"/>
      <c r="D17" s="298"/>
      <c r="E17" s="299"/>
      <c r="F17" s="97"/>
      <c r="G17" s="300" t="s">
        <v>63</v>
      </c>
      <c r="H17" s="301"/>
      <c r="I17" s="301"/>
      <c r="J17" s="302"/>
      <c r="K17" s="56"/>
      <c r="L17" s="57"/>
      <c r="M17" s="58"/>
    </row>
    <row r="18" spans="1:13" ht="12.75">
      <c r="A18" s="297" t="s">
        <v>33</v>
      </c>
      <c r="B18" s="298"/>
      <c r="C18" s="298"/>
      <c r="D18" s="298"/>
      <c r="E18" s="299"/>
      <c r="F18" s="97"/>
      <c r="G18" s="273" t="s">
        <v>64</v>
      </c>
      <c r="H18" s="274"/>
      <c r="I18" s="274"/>
      <c r="J18" s="275"/>
      <c r="K18" s="127"/>
      <c r="L18" s="128"/>
      <c r="M18" s="129"/>
    </row>
    <row r="19" spans="1:13" ht="13.5" thickBot="1">
      <c r="A19" s="276" t="s">
        <v>35</v>
      </c>
      <c r="B19" s="277"/>
      <c r="C19" s="277"/>
      <c r="D19" s="277"/>
      <c r="E19" s="277"/>
      <c r="F19" s="97"/>
      <c r="G19" s="303"/>
      <c r="H19" s="304"/>
      <c r="I19" s="304"/>
      <c r="J19" s="305"/>
      <c r="K19" s="55"/>
      <c r="L19" s="46"/>
      <c r="M19" s="47"/>
    </row>
    <row r="20" spans="1:13" ht="13.5" thickBot="1">
      <c r="A20" s="290" t="s">
        <v>37</v>
      </c>
      <c r="B20" s="291"/>
      <c r="C20" s="291"/>
      <c r="D20" s="291"/>
      <c r="E20" s="292"/>
      <c r="F20" s="59">
        <f>SUM(F7:F19)</f>
        <v>0</v>
      </c>
      <c r="G20" s="60" t="s">
        <v>19</v>
      </c>
      <c r="H20" s="293" t="s">
        <v>65</v>
      </c>
      <c r="I20" s="294"/>
      <c r="J20" s="295"/>
      <c r="K20" s="61">
        <f>SUM(K7:K16)</f>
        <v>0</v>
      </c>
      <c r="L20" s="61">
        <f>SUM(L7:L16)</f>
        <v>0</v>
      </c>
      <c r="M20" s="62">
        <f>SUM(M7:M16)</f>
        <v>0</v>
      </c>
    </row>
    <row r="21" spans="1:13" ht="13.5" thickBot="1">
      <c r="A21" s="315"/>
      <c r="B21" s="316"/>
      <c r="C21" s="316"/>
      <c r="D21" s="316"/>
      <c r="E21" s="316"/>
      <c r="F21" s="317"/>
      <c r="G21" s="63" t="s">
        <v>22</v>
      </c>
      <c r="H21" s="318" t="s">
        <v>66</v>
      </c>
      <c r="I21" s="318"/>
      <c r="J21" s="318"/>
      <c r="K21" s="130">
        <f>F35-F36-K18</f>
        <v>0</v>
      </c>
      <c r="L21" s="130">
        <f>F35-F36-L18</f>
        <v>0</v>
      </c>
      <c r="M21" s="131">
        <f>F35-F36-M18</f>
        <v>0</v>
      </c>
    </row>
    <row r="22" spans="1:13" ht="12.75">
      <c r="A22" s="283" t="s">
        <v>67</v>
      </c>
      <c r="B22" s="288"/>
      <c r="C22" s="288"/>
      <c r="D22" s="288"/>
      <c r="E22" s="288"/>
      <c r="F22" s="64" t="s">
        <v>7</v>
      </c>
      <c r="G22" s="65" t="s">
        <v>22</v>
      </c>
      <c r="H22" s="277" t="s">
        <v>27</v>
      </c>
      <c r="I22" s="277"/>
      <c r="J22" s="277"/>
      <c r="K22" s="98">
        <v>0</v>
      </c>
      <c r="L22" s="98">
        <f>K22</f>
        <v>0</v>
      </c>
      <c r="M22" s="97">
        <f>K22</f>
        <v>0</v>
      </c>
    </row>
    <row r="23" spans="1:13" ht="12.75">
      <c r="A23" s="319"/>
      <c r="B23" s="320"/>
      <c r="C23" s="320"/>
      <c r="D23" s="320"/>
      <c r="E23" s="321"/>
      <c r="F23" s="66"/>
      <c r="G23" s="65"/>
      <c r="H23" s="309"/>
      <c r="I23" s="310"/>
      <c r="J23" s="311"/>
      <c r="K23" s="14"/>
      <c r="L23" s="14"/>
      <c r="M23" s="17"/>
    </row>
    <row r="24" spans="1:13" ht="12.75">
      <c r="A24" s="296" t="s">
        <v>68</v>
      </c>
      <c r="B24" s="308"/>
      <c r="C24" s="308"/>
      <c r="D24" s="308"/>
      <c r="E24" s="308"/>
      <c r="F24" s="97"/>
      <c r="G24" s="67"/>
      <c r="H24" s="312"/>
      <c r="I24" s="313"/>
      <c r="J24" s="314"/>
      <c r="K24" s="54"/>
      <c r="L24" s="15"/>
      <c r="M24" s="16"/>
    </row>
    <row r="25" spans="1:13" ht="12.75">
      <c r="A25" s="296" t="s">
        <v>69</v>
      </c>
      <c r="B25" s="308"/>
      <c r="C25" s="308"/>
      <c r="D25" s="308"/>
      <c r="E25" s="308"/>
      <c r="F25" s="97"/>
      <c r="G25" s="65"/>
      <c r="H25" s="309"/>
      <c r="I25" s="310"/>
      <c r="J25" s="311"/>
      <c r="K25" s="14"/>
      <c r="L25" s="15"/>
      <c r="M25" s="16"/>
    </row>
    <row r="26" spans="1:13" ht="12.75">
      <c r="A26" s="296" t="s">
        <v>70</v>
      </c>
      <c r="B26" s="308"/>
      <c r="C26" s="308"/>
      <c r="D26" s="308"/>
      <c r="E26" s="308"/>
      <c r="F26" s="97"/>
      <c r="G26" s="65"/>
      <c r="H26" s="309"/>
      <c r="I26" s="310"/>
      <c r="J26" s="311"/>
      <c r="K26" s="14"/>
      <c r="L26" s="15"/>
      <c r="M26" s="16"/>
    </row>
    <row r="27" spans="1:13" ht="12.75">
      <c r="A27" s="296" t="s">
        <v>71</v>
      </c>
      <c r="B27" s="308"/>
      <c r="C27" s="308"/>
      <c r="D27" s="308"/>
      <c r="E27" s="308"/>
      <c r="F27" s="97"/>
      <c r="G27" s="65"/>
      <c r="H27" s="309"/>
      <c r="I27" s="310"/>
      <c r="J27" s="311"/>
      <c r="K27" s="14"/>
      <c r="L27" s="14"/>
      <c r="M27" s="17"/>
    </row>
    <row r="28" spans="1:13" ht="12.75">
      <c r="A28" s="297" t="s">
        <v>72</v>
      </c>
      <c r="B28" s="298"/>
      <c r="C28" s="298"/>
      <c r="D28" s="298"/>
      <c r="E28" s="299"/>
      <c r="F28" s="97"/>
      <c r="G28" s="67"/>
      <c r="H28" s="309"/>
      <c r="I28" s="310"/>
      <c r="J28" s="311"/>
      <c r="K28" s="54"/>
      <c r="L28" s="15"/>
      <c r="M28" s="16"/>
    </row>
    <row r="29" spans="1:13" ht="12.75">
      <c r="A29" s="296" t="s">
        <v>73</v>
      </c>
      <c r="B29" s="308"/>
      <c r="C29" s="308"/>
      <c r="D29" s="308"/>
      <c r="E29" s="308"/>
      <c r="F29" s="97"/>
      <c r="G29" s="67"/>
      <c r="H29" s="309"/>
      <c r="I29" s="310"/>
      <c r="J29" s="311"/>
      <c r="K29" s="54"/>
      <c r="L29" s="15"/>
      <c r="M29" s="16"/>
    </row>
    <row r="30" spans="1:13" ht="12.75">
      <c r="A30" s="296" t="s">
        <v>74</v>
      </c>
      <c r="B30" s="308"/>
      <c r="C30" s="308"/>
      <c r="D30" s="308"/>
      <c r="E30" s="308"/>
      <c r="F30" s="118"/>
      <c r="G30" s="67"/>
      <c r="H30" s="309"/>
      <c r="I30" s="310"/>
      <c r="J30" s="311"/>
      <c r="K30" s="54"/>
      <c r="L30" s="15"/>
      <c r="M30" s="16"/>
    </row>
    <row r="31" spans="1:13" ht="13.5" thickBot="1">
      <c r="A31" s="296" t="s">
        <v>75</v>
      </c>
      <c r="B31" s="308"/>
      <c r="C31" s="308"/>
      <c r="D31" s="308"/>
      <c r="E31" s="308"/>
      <c r="F31" s="118"/>
      <c r="G31" s="68"/>
      <c r="H31" s="322"/>
      <c r="I31" s="323"/>
      <c r="J31" s="324"/>
      <c r="K31" s="69"/>
      <c r="L31" s="30"/>
      <c r="M31" s="31"/>
    </row>
    <row r="32" spans="1:13" ht="15" thickBot="1">
      <c r="A32" s="297" t="s">
        <v>76</v>
      </c>
      <c r="B32" s="298"/>
      <c r="C32" s="298"/>
      <c r="D32" s="298"/>
      <c r="E32" s="299"/>
      <c r="F32" s="121"/>
      <c r="G32" s="70" t="s">
        <v>19</v>
      </c>
      <c r="H32" s="306" t="s">
        <v>29</v>
      </c>
      <c r="I32" s="255"/>
      <c r="J32" s="307"/>
      <c r="K32" s="71">
        <f>K20-K21-K22-K23-K24-K25-K26-K27-K28-K29-K30-K31</f>
        <v>0</v>
      </c>
      <c r="L32" s="71">
        <f>L20-L21-L22-L23-L24-L25-L26-L27-L28-L29-L30-L31</f>
        <v>0</v>
      </c>
      <c r="M32" s="72">
        <f>M20-M21-M22-M23-M24-M25-M26-M27-M28-M29-M30-M31</f>
        <v>0</v>
      </c>
    </row>
    <row r="33" spans="1:13" ht="13.5" thickBot="1">
      <c r="A33" s="335" t="s">
        <v>77</v>
      </c>
      <c r="B33" s="336"/>
      <c r="C33" s="336"/>
      <c r="D33" s="336"/>
      <c r="E33" s="337"/>
      <c r="F33" s="122"/>
      <c r="G33" s="73"/>
      <c r="H33" s="329"/>
      <c r="I33" s="330"/>
      <c r="J33" s="331"/>
      <c r="K33" s="74"/>
      <c r="L33" s="74"/>
      <c r="M33" s="75"/>
    </row>
    <row r="34" spans="1:13" ht="13.5" thickBot="1">
      <c r="A34" s="335" t="s">
        <v>78</v>
      </c>
      <c r="B34" s="336"/>
      <c r="C34" s="336"/>
      <c r="D34" s="336"/>
      <c r="E34" s="337"/>
      <c r="F34" s="122"/>
      <c r="G34" s="70" t="s">
        <v>19</v>
      </c>
      <c r="H34" s="306" t="s">
        <v>79</v>
      </c>
      <c r="I34" s="255"/>
      <c r="J34" s="307"/>
      <c r="K34" s="76">
        <f>K32</f>
        <v>0</v>
      </c>
      <c r="L34" s="76">
        <f>L32</f>
        <v>0</v>
      </c>
      <c r="M34" s="77">
        <f>M32</f>
        <v>0</v>
      </c>
    </row>
    <row r="35" spans="1:13" ht="13.5" thickBot="1">
      <c r="A35" s="326" t="s">
        <v>80</v>
      </c>
      <c r="B35" s="327"/>
      <c r="C35" s="327"/>
      <c r="D35" s="327"/>
      <c r="E35" s="328"/>
      <c r="F35" s="78">
        <f>SUM(F24:F34)</f>
        <v>0</v>
      </c>
      <c r="G35" s="79"/>
      <c r="H35" s="329"/>
      <c r="I35" s="330"/>
      <c r="J35" s="331"/>
      <c r="K35" s="80"/>
      <c r="L35" s="80"/>
      <c r="M35" s="81"/>
    </row>
    <row r="36" spans="1:13" ht="15.75" thickBot="1">
      <c r="A36" s="332" t="s">
        <v>81</v>
      </c>
      <c r="B36" s="333"/>
      <c r="C36" s="333"/>
      <c r="D36" s="333"/>
      <c r="E36" s="334"/>
      <c r="F36" s="119"/>
      <c r="G36" s="82"/>
      <c r="H36" s="306" t="s">
        <v>82</v>
      </c>
      <c r="I36" s="255"/>
      <c r="J36" s="307"/>
      <c r="K36" s="27" t="e">
        <f>K34/$F$20</f>
        <v>#DIV/0!</v>
      </c>
      <c r="L36" s="27" t="e">
        <f>L34/$F$20</f>
        <v>#DIV/0!</v>
      </c>
      <c r="M36" s="28" t="e">
        <f>M34/$F$20</f>
        <v>#DIV/0!</v>
      </c>
    </row>
    <row r="37" spans="1:13" ht="12.75">
      <c r="A37" s="83"/>
      <c r="B37" s="83"/>
      <c r="C37" s="83"/>
      <c r="D37" s="83"/>
      <c r="E37" s="83"/>
      <c r="F37" s="84"/>
      <c r="L37" s="2"/>
      <c r="M37" s="2"/>
    </row>
    <row r="38" spans="1:13" ht="12.75">
      <c r="A38" s="83"/>
      <c r="B38" s="83"/>
      <c r="C38" s="83"/>
      <c r="D38" s="83"/>
      <c r="E38" s="83"/>
      <c r="F38" s="84"/>
      <c r="L38" s="2"/>
      <c r="M38" s="2"/>
    </row>
    <row r="39" spans="1:13" ht="12.75">
      <c r="A39" s="83"/>
      <c r="B39" s="83"/>
      <c r="C39" s="83"/>
      <c r="D39" s="83"/>
      <c r="E39" s="83"/>
      <c r="F39" s="84"/>
      <c r="L39" s="2"/>
      <c r="M39" s="2"/>
    </row>
    <row r="40" spans="12:13" ht="12.75">
      <c r="L40" s="2"/>
      <c r="M40" s="2"/>
    </row>
    <row r="41" spans="1:13" ht="12.75">
      <c r="A41" s="48"/>
      <c r="C41" s="48"/>
      <c r="D41" s="48"/>
      <c r="E41" s="48"/>
      <c r="F41" s="48"/>
      <c r="H41" s="48"/>
      <c r="I41" s="48"/>
      <c r="J41" s="48"/>
      <c r="L41" s="49"/>
      <c r="M41" s="49"/>
    </row>
    <row r="42" spans="1:13" ht="12.75">
      <c r="A42" s="85" t="s">
        <v>83</v>
      </c>
      <c r="B42" s="86"/>
      <c r="C42" s="325" t="s">
        <v>84</v>
      </c>
      <c r="D42" s="325"/>
      <c r="E42" s="325"/>
      <c r="F42" s="325"/>
      <c r="G42" s="86"/>
      <c r="H42" s="325" t="s">
        <v>54</v>
      </c>
      <c r="I42" s="325"/>
      <c r="J42" s="325"/>
      <c r="K42" s="86"/>
      <c r="L42" s="325" t="s">
        <v>55</v>
      </c>
      <c r="M42" s="325"/>
    </row>
    <row r="43" spans="12:13" ht="12.75">
      <c r="L43" s="2"/>
      <c r="M43" s="2"/>
    </row>
    <row r="44" spans="12:13" ht="12.75">
      <c r="L44" s="2"/>
      <c r="M44" s="2"/>
    </row>
    <row r="45" spans="12:13" ht="12.75">
      <c r="L45" s="2"/>
      <c r="M45" s="2"/>
    </row>
    <row r="46" spans="12:13" ht="12.75">
      <c r="L46" s="2"/>
      <c r="M46" s="2"/>
    </row>
    <row r="47" spans="12:13" ht="12.75">
      <c r="L47" s="2"/>
      <c r="M47" s="2"/>
    </row>
    <row r="48" spans="12:13" ht="12.75">
      <c r="L48" s="2"/>
      <c r="M48" s="2"/>
    </row>
  </sheetData>
  <sheetProtection password="C776" sheet="1"/>
  <mergeCells count="74">
    <mergeCell ref="H29:J29"/>
    <mergeCell ref="A34:E34"/>
    <mergeCell ref="A29:E29"/>
    <mergeCell ref="A28:E28"/>
    <mergeCell ref="H28:J28"/>
    <mergeCell ref="A30:E30"/>
    <mergeCell ref="H30:J30"/>
    <mergeCell ref="H33:J33"/>
    <mergeCell ref="A33:E33"/>
    <mergeCell ref="A31:E31"/>
    <mergeCell ref="H31:J31"/>
    <mergeCell ref="L42:M42"/>
    <mergeCell ref="A35:E35"/>
    <mergeCell ref="H35:J35"/>
    <mergeCell ref="A36:E36"/>
    <mergeCell ref="H36:J36"/>
    <mergeCell ref="C42:F42"/>
    <mergeCell ref="H34:J34"/>
    <mergeCell ref="H42:J42"/>
    <mergeCell ref="A32:E32"/>
    <mergeCell ref="H23:J23"/>
    <mergeCell ref="A24:E24"/>
    <mergeCell ref="H24:J24"/>
    <mergeCell ref="A21:F21"/>
    <mergeCell ref="H21:J21"/>
    <mergeCell ref="A22:E22"/>
    <mergeCell ref="H22:J22"/>
    <mergeCell ref="A23:E23"/>
    <mergeCell ref="H32:J32"/>
    <mergeCell ref="A14:E14"/>
    <mergeCell ref="G14:J14"/>
    <mergeCell ref="A15:E15"/>
    <mergeCell ref="A27:E27"/>
    <mergeCell ref="H27:J27"/>
    <mergeCell ref="A25:E25"/>
    <mergeCell ref="H25:J25"/>
    <mergeCell ref="A26:E26"/>
    <mergeCell ref="H26:J26"/>
    <mergeCell ref="A17:E17"/>
    <mergeCell ref="G17:J17"/>
    <mergeCell ref="A18:E18"/>
    <mergeCell ref="G18:J18"/>
    <mergeCell ref="A19:E19"/>
    <mergeCell ref="G19:J19"/>
    <mergeCell ref="A20:E20"/>
    <mergeCell ref="H20:J20"/>
    <mergeCell ref="A8:E8"/>
    <mergeCell ref="G8:J8"/>
    <mergeCell ref="G12:J12"/>
    <mergeCell ref="A13:E13"/>
    <mergeCell ref="G13:J13"/>
    <mergeCell ref="A9:E9"/>
    <mergeCell ref="G9:J9"/>
    <mergeCell ref="A10:E10"/>
    <mergeCell ref="A4:J4"/>
    <mergeCell ref="G10:J10"/>
    <mergeCell ref="A5:E5"/>
    <mergeCell ref="A16:E16"/>
    <mergeCell ref="G16:J16"/>
    <mergeCell ref="A11:E11"/>
    <mergeCell ref="G11:J11"/>
    <mergeCell ref="A12:E12"/>
    <mergeCell ref="G5:J5"/>
    <mergeCell ref="A6:E6"/>
    <mergeCell ref="K4:M4"/>
    <mergeCell ref="G15:J15"/>
    <mergeCell ref="G6:J6"/>
    <mergeCell ref="A7:E7"/>
    <mergeCell ref="G7:J7"/>
    <mergeCell ref="A1:M1"/>
    <mergeCell ref="A2:G2"/>
    <mergeCell ref="A3:B3"/>
    <mergeCell ref="C3:F3"/>
    <mergeCell ref="I3:J3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43.140625" style="0" customWidth="1"/>
    <col min="2" max="3" width="15.7109375" style="0" customWidth="1"/>
    <col min="4" max="4" width="14.00390625" style="0" bestFit="1" customWidth="1"/>
  </cols>
  <sheetData>
    <row r="1" spans="1:3" ht="12.75">
      <c r="A1" s="132"/>
      <c r="B1" s="133"/>
      <c r="C1" s="134"/>
    </row>
    <row r="2" spans="1:3" ht="12.75">
      <c r="A2" s="338" t="s">
        <v>90</v>
      </c>
      <c r="B2" s="339"/>
      <c r="C2" s="340"/>
    </row>
    <row r="3" spans="1:3" ht="12.75">
      <c r="A3" s="338" t="s">
        <v>91</v>
      </c>
      <c r="B3" s="339"/>
      <c r="C3" s="340"/>
    </row>
    <row r="4" spans="1:3" ht="12.75">
      <c r="A4" s="345" t="s">
        <v>107</v>
      </c>
      <c r="B4" s="346"/>
      <c r="C4" s="347"/>
    </row>
    <row r="5" spans="1:3" ht="13.5" thickBot="1">
      <c r="A5" s="341" t="s">
        <v>92</v>
      </c>
      <c r="B5" s="342"/>
      <c r="C5" s="343"/>
    </row>
    <row r="6" spans="1:3" ht="12.75">
      <c r="A6" s="135" t="s">
        <v>93</v>
      </c>
      <c r="B6" s="136" t="s">
        <v>94</v>
      </c>
      <c r="C6" s="137" t="s">
        <v>95</v>
      </c>
    </row>
    <row r="7" spans="1:3" ht="12.75">
      <c r="A7" s="155" t="s">
        <v>108</v>
      </c>
      <c r="B7" s="139">
        <v>13528966.64</v>
      </c>
      <c r="C7" s="140"/>
    </row>
    <row r="8" spans="1:4" ht="12.75">
      <c r="A8" s="155" t="s">
        <v>109</v>
      </c>
      <c r="B8" s="141">
        <v>9855571.61</v>
      </c>
      <c r="C8" s="141">
        <f>B7+B8</f>
        <v>23384538.25</v>
      </c>
      <c r="D8" s="142"/>
    </row>
    <row r="9" spans="1:3" ht="12.75">
      <c r="A9" s="155" t="s">
        <v>110</v>
      </c>
      <c r="B9" s="139">
        <v>15017539.27</v>
      </c>
      <c r="C9" s="140"/>
    </row>
    <row r="10" spans="1:3" ht="12.75">
      <c r="A10" s="155" t="s">
        <v>96</v>
      </c>
      <c r="B10" s="139"/>
      <c r="C10" s="140"/>
    </row>
    <row r="11" spans="1:3" ht="12.75">
      <c r="A11" s="138"/>
      <c r="B11" s="143"/>
      <c r="C11" s="140"/>
    </row>
    <row r="12" spans="1:3" ht="12.75">
      <c r="A12" s="326" t="s">
        <v>97</v>
      </c>
      <c r="B12" s="327"/>
      <c r="C12" s="344"/>
    </row>
    <row r="13" spans="1:3" ht="12.75">
      <c r="A13" s="138"/>
      <c r="B13" s="143"/>
      <c r="C13" s="140"/>
    </row>
    <row r="14" spans="1:3" ht="15">
      <c r="A14" s="144" t="s">
        <v>98</v>
      </c>
      <c r="B14" s="145">
        <f>B9</f>
        <v>15017539.27</v>
      </c>
      <c r="C14" s="146">
        <f>(B9/B7)-100%</f>
        <v>0.11002855351855612</v>
      </c>
    </row>
    <row r="15" spans="1:3" ht="12.75">
      <c r="A15" s="147" t="s">
        <v>99</v>
      </c>
      <c r="B15" s="148">
        <f>B7</f>
        <v>13528966.64</v>
      </c>
      <c r="C15" s="140"/>
    </row>
    <row r="16" spans="1:3" ht="12.75">
      <c r="A16" s="138"/>
      <c r="B16" s="143"/>
      <c r="C16" s="140"/>
    </row>
    <row r="17" spans="1:4" ht="12.75">
      <c r="A17" s="138" t="s">
        <v>100</v>
      </c>
      <c r="B17" s="143"/>
      <c r="C17" s="141">
        <f>(B8*C14)+B8</f>
        <v>10939965.898346847</v>
      </c>
      <c r="D17" s="149"/>
    </row>
    <row r="18" spans="1:3" ht="12.75">
      <c r="A18" s="138"/>
      <c r="B18" s="143"/>
      <c r="C18" s="141"/>
    </row>
    <row r="19" spans="1:3" ht="12.75">
      <c r="A19" s="326" t="s">
        <v>101</v>
      </c>
      <c r="B19" s="327"/>
      <c r="C19" s="344"/>
    </row>
    <row r="20" spans="1:3" ht="12.75">
      <c r="A20" s="138"/>
      <c r="B20" s="143"/>
      <c r="C20" s="140"/>
    </row>
    <row r="21" spans="1:3" ht="12.75">
      <c r="A21" s="138" t="str">
        <f>A10</f>
        <v>Receita prevista para 2012 (x2)</v>
      </c>
      <c r="B21" s="143"/>
      <c r="C21" s="141">
        <v>25500000</v>
      </c>
    </row>
    <row r="22" spans="1:3" ht="12.75">
      <c r="A22" s="138" t="str">
        <f>A9</f>
        <v>Arrecadação de janeiro a setembro de 2012 (x2)</v>
      </c>
      <c r="B22" s="143"/>
      <c r="C22" s="141">
        <f>B9</f>
        <v>15017539.27</v>
      </c>
    </row>
    <row r="23" spans="1:3" ht="12.75">
      <c r="A23" s="138" t="str">
        <f>A17</f>
        <v>(w) Arrecadação do 2º período =  (x1)*(y)+(x1) </v>
      </c>
      <c r="B23" s="143"/>
      <c r="C23" s="141">
        <f>C17</f>
        <v>10939965.898346847</v>
      </c>
    </row>
    <row r="24" spans="1:3" ht="12.75">
      <c r="A24" s="138" t="s">
        <v>102</v>
      </c>
      <c r="B24" s="143"/>
      <c r="C24" s="141">
        <f>C22+C23-C21</f>
        <v>457505.1683468446</v>
      </c>
    </row>
    <row r="25" spans="1:3" ht="12.75">
      <c r="A25" s="138" t="s">
        <v>103</v>
      </c>
      <c r="B25" s="143"/>
      <c r="C25" s="139"/>
    </row>
    <row r="26" spans="1:3" ht="13.5" thickBot="1">
      <c r="A26" s="150" t="s">
        <v>104</v>
      </c>
      <c r="B26" s="151"/>
      <c r="C26" s="152">
        <f>C24-C25</f>
        <v>457505.1683468446</v>
      </c>
    </row>
    <row r="28" ht="13.5" thickBot="1"/>
    <row r="29" spans="1:3" ht="12.75">
      <c r="A29" s="132"/>
      <c r="B29" s="133"/>
      <c r="C29" s="134"/>
    </row>
    <row r="30" spans="1:3" ht="12.75">
      <c r="A30" s="338" t="s">
        <v>90</v>
      </c>
      <c r="B30" s="339"/>
      <c r="C30" s="340"/>
    </row>
    <row r="31" spans="1:3" ht="12.75">
      <c r="A31" s="338" t="s">
        <v>91</v>
      </c>
      <c r="B31" s="339"/>
      <c r="C31" s="340"/>
    </row>
    <row r="32" spans="1:3" ht="12.75">
      <c r="A32" s="338" t="str">
        <f>A4</f>
        <v>RUBINÉIA</v>
      </c>
      <c r="B32" s="339"/>
      <c r="C32" s="340"/>
    </row>
    <row r="33" spans="1:3" ht="13.5" thickBot="1">
      <c r="A33" s="341" t="s">
        <v>105</v>
      </c>
      <c r="B33" s="342"/>
      <c r="C33" s="343"/>
    </row>
    <row r="34" spans="1:3" ht="12.75">
      <c r="A34" s="135" t="s">
        <v>93</v>
      </c>
      <c r="B34" s="136" t="s">
        <v>94</v>
      </c>
      <c r="C34" s="137" t="s">
        <v>95</v>
      </c>
    </row>
    <row r="35" spans="1:3" ht="12.75">
      <c r="A35" s="138" t="str">
        <f>A7</f>
        <v>Arrecadaçao de janeiro a setembro 2011 (x1)</v>
      </c>
      <c r="B35" s="139">
        <v>10540942.52</v>
      </c>
      <c r="C35" s="140"/>
    </row>
    <row r="36" spans="1:3" ht="12.75">
      <c r="A36" s="138" t="str">
        <f>A8</f>
        <v>Arrecadação de outubro a dezembro 2011 (x1)</v>
      </c>
      <c r="B36" s="141">
        <v>7622260.95</v>
      </c>
      <c r="C36" s="141">
        <f>B35+B36</f>
        <v>18163203.47</v>
      </c>
    </row>
    <row r="37" spans="1:3" ht="12.75">
      <c r="A37" s="138" t="str">
        <f>A9</f>
        <v>Arrecadação de janeiro a setembro de 2012 (x2)</v>
      </c>
      <c r="B37" s="139">
        <v>11334356.5</v>
      </c>
      <c r="C37" s="140"/>
    </row>
    <row r="38" spans="1:3" ht="12.75">
      <c r="A38" s="138" t="str">
        <f>A10</f>
        <v>Receita prevista para 2012 (x2)</v>
      </c>
      <c r="B38" s="139">
        <v>20177500</v>
      </c>
      <c r="C38" s="140"/>
    </row>
    <row r="39" spans="1:3" ht="12.75">
      <c r="A39" s="138"/>
      <c r="B39" s="143"/>
      <c r="C39" s="140"/>
    </row>
    <row r="40" spans="1:3" ht="12.75">
      <c r="A40" s="326" t="s">
        <v>97</v>
      </c>
      <c r="B40" s="327"/>
      <c r="C40" s="344"/>
    </row>
    <row r="41" spans="1:3" ht="12.75">
      <c r="A41" s="138"/>
      <c r="B41" s="143"/>
      <c r="C41" s="140"/>
    </row>
    <row r="42" spans="1:3" ht="15">
      <c r="A42" s="144" t="s">
        <v>98</v>
      </c>
      <c r="B42" s="145">
        <f>B37</f>
        <v>11334356.5</v>
      </c>
      <c r="C42" s="153">
        <f>(B37/B35)-100%</f>
        <v>0.07526973783365243</v>
      </c>
    </row>
    <row r="43" spans="1:3" ht="12.75">
      <c r="A43" s="147" t="s">
        <v>99</v>
      </c>
      <c r="B43" s="148">
        <f>B35</f>
        <v>10540942.52</v>
      </c>
      <c r="C43" s="140"/>
    </row>
    <row r="44" spans="1:3" ht="12.75">
      <c r="A44" s="138"/>
      <c r="B44" s="143"/>
      <c r="C44" s="140"/>
    </row>
    <row r="45" spans="1:3" ht="12.75">
      <c r="A45" s="138" t="s">
        <v>100</v>
      </c>
      <c r="B45" s="143"/>
      <c r="C45" s="141">
        <f>(B36*C42)+B36</f>
        <v>8195986.533406187</v>
      </c>
    </row>
    <row r="46" spans="1:3" ht="12.75">
      <c r="A46" s="138"/>
      <c r="B46" s="143"/>
      <c r="C46" s="141"/>
    </row>
    <row r="47" spans="1:3" ht="12.75">
      <c r="A47" s="326" t="s">
        <v>101</v>
      </c>
      <c r="B47" s="327"/>
      <c r="C47" s="344"/>
    </row>
    <row r="48" spans="1:3" ht="12.75">
      <c r="A48" s="138"/>
      <c r="B48" s="143"/>
      <c r="C48" s="140"/>
    </row>
    <row r="49" spans="1:3" ht="12.75">
      <c r="A49" s="138" t="str">
        <f>A38</f>
        <v>Receita prevista para 2012 (x2)</v>
      </c>
      <c r="B49" s="143"/>
      <c r="C49" s="141">
        <f>B38</f>
        <v>20177500</v>
      </c>
    </row>
    <row r="50" spans="1:3" ht="12.75">
      <c r="A50" s="138" t="str">
        <f>A37</f>
        <v>Arrecadação de janeiro a setembro de 2012 (x2)</v>
      </c>
      <c r="B50" s="143"/>
      <c r="C50" s="141">
        <f>B37</f>
        <v>11334356.5</v>
      </c>
    </row>
    <row r="51" spans="1:3" ht="12.75">
      <c r="A51" s="138" t="str">
        <f>A45</f>
        <v>(w) Arrecadação do 2º período =  (x1)*(y)+(x1) </v>
      </c>
      <c r="B51" s="143"/>
      <c r="C51" s="141">
        <f>C45</f>
        <v>8195986.533406187</v>
      </c>
    </row>
    <row r="52" spans="1:3" ht="12.75">
      <c r="A52" s="138" t="str">
        <f>A24</f>
        <v>(=) Excesso Provável de Arrecadação para 2012</v>
      </c>
      <c r="B52" s="143"/>
      <c r="C52" s="141">
        <f>C50+C51-C49</f>
        <v>-647156.9665938132</v>
      </c>
    </row>
    <row r="53" spans="1:3" ht="12.75">
      <c r="A53" s="138" t="str">
        <f>A25</f>
        <v>(-) Créditos Abertos p/Excesso</v>
      </c>
      <c r="B53" s="143"/>
      <c r="C53" s="154"/>
    </row>
    <row r="54" spans="1:3" ht="13.5" thickBot="1">
      <c r="A54" s="150" t="str">
        <f>A26</f>
        <v>(=) Excesso Provável Apurado</v>
      </c>
      <c r="B54" s="151"/>
      <c r="C54" s="152">
        <f>C52-C53</f>
        <v>-647156.9665938132</v>
      </c>
    </row>
    <row r="55" ht="13.5" thickBot="1"/>
    <row r="56" spans="1:3" ht="12.75">
      <c r="A56" s="132"/>
      <c r="B56" s="133"/>
      <c r="C56" s="134"/>
    </row>
    <row r="57" spans="1:3" ht="12.75">
      <c r="A57" s="338" t="s">
        <v>90</v>
      </c>
      <c r="B57" s="339"/>
      <c r="C57" s="340"/>
    </row>
    <row r="58" spans="1:3" ht="12.75">
      <c r="A58" s="338" t="s">
        <v>91</v>
      </c>
      <c r="B58" s="339"/>
      <c r="C58" s="340"/>
    </row>
    <row r="59" spans="1:3" ht="12.75">
      <c r="A59" s="338" t="str">
        <f>A4</f>
        <v>RUBINÉIA</v>
      </c>
      <c r="B59" s="339"/>
      <c r="C59" s="340"/>
    </row>
    <row r="60" spans="1:3" ht="13.5" thickBot="1">
      <c r="A60" s="341" t="s">
        <v>106</v>
      </c>
      <c r="B60" s="342"/>
      <c r="C60" s="343"/>
    </row>
    <row r="61" spans="1:3" ht="12.75">
      <c r="A61" s="135" t="s">
        <v>93</v>
      </c>
      <c r="B61" s="136" t="s">
        <v>94</v>
      </c>
      <c r="C61" s="137" t="s">
        <v>95</v>
      </c>
    </row>
    <row r="62" spans="1:3" ht="12.75">
      <c r="A62" s="138" t="str">
        <f>A7</f>
        <v>Arrecadaçao de janeiro a setembro 2011 (x1)</v>
      </c>
      <c r="B62" s="154"/>
      <c r="C62" s="140"/>
    </row>
    <row r="63" spans="1:3" ht="12.75">
      <c r="A63" s="138" t="str">
        <f>A8</f>
        <v>Arrecadação de outubro a dezembro 2011 (x1)</v>
      </c>
      <c r="B63" s="141"/>
      <c r="C63" s="141">
        <f>B62+B63</f>
        <v>0</v>
      </c>
    </row>
    <row r="64" spans="1:3" ht="12.75">
      <c r="A64" s="138" t="str">
        <f>A9</f>
        <v>Arrecadação de janeiro a setembro de 2012 (x2)</v>
      </c>
      <c r="B64" s="154"/>
      <c r="C64" s="140"/>
    </row>
    <row r="65" spans="1:3" ht="12.75">
      <c r="A65" s="138" t="str">
        <f>A10</f>
        <v>Receita prevista para 2012 (x2)</v>
      </c>
      <c r="B65" s="154"/>
      <c r="C65" s="140"/>
    </row>
    <row r="66" spans="1:3" ht="12.75">
      <c r="A66" s="138"/>
      <c r="B66" s="143"/>
      <c r="C66" s="140"/>
    </row>
    <row r="67" spans="1:3" ht="12.75">
      <c r="A67" s="326" t="s">
        <v>97</v>
      </c>
      <c r="B67" s="327"/>
      <c r="C67" s="344"/>
    </row>
    <row r="68" spans="1:3" ht="12.75">
      <c r="A68" s="138"/>
      <c r="B68" s="143"/>
      <c r="C68" s="140"/>
    </row>
    <row r="69" spans="1:3" ht="15">
      <c r="A69" s="144" t="s">
        <v>98</v>
      </c>
      <c r="B69" s="145">
        <f>B64</f>
        <v>0</v>
      </c>
      <c r="C69" s="153" t="e">
        <f>(B64/B62)-100%</f>
        <v>#DIV/0!</v>
      </c>
    </row>
    <row r="70" spans="1:3" ht="12.75">
      <c r="A70" s="147" t="s">
        <v>99</v>
      </c>
      <c r="B70" s="148">
        <f>B62</f>
        <v>0</v>
      </c>
      <c r="C70" s="140"/>
    </row>
    <row r="71" spans="1:3" ht="12.75">
      <c r="A71" s="138"/>
      <c r="B71" s="143"/>
      <c r="C71" s="140"/>
    </row>
    <row r="72" spans="1:3" ht="12.75">
      <c r="A72" s="138" t="s">
        <v>100</v>
      </c>
      <c r="B72" s="143"/>
      <c r="C72" s="141" t="e">
        <f>(B63*C69)+B63</f>
        <v>#DIV/0!</v>
      </c>
    </row>
    <row r="73" spans="1:3" ht="12.75">
      <c r="A73" s="138"/>
      <c r="B73" s="143"/>
      <c r="C73" s="141"/>
    </row>
    <row r="74" spans="1:3" ht="12.75">
      <c r="A74" s="326" t="s">
        <v>101</v>
      </c>
      <c r="B74" s="327"/>
      <c r="C74" s="344"/>
    </row>
    <row r="75" spans="1:3" ht="12.75">
      <c r="A75" s="138"/>
      <c r="B75" s="143"/>
      <c r="C75" s="140"/>
    </row>
    <row r="76" spans="1:3" ht="12.75">
      <c r="A76" s="138" t="str">
        <f>A65</f>
        <v>Receita prevista para 2012 (x2)</v>
      </c>
      <c r="B76" s="143"/>
      <c r="C76" s="141">
        <f>B65</f>
        <v>0</v>
      </c>
    </row>
    <row r="77" spans="1:3" ht="12.75">
      <c r="A77" s="138" t="str">
        <f>A64</f>
        <v>Arrecadação de janeiro a setembro de 2012 (x2)</v>
      </c>
      <c r="B77" s="143"/>
      <c r="C77" s="141">
        <f>B64</f>
        <v>0</v>
      </c>
    </row>
    <row r="78" spans="1:3" ht="12.75">
      <c r="A78" s="138" t="str">
        <f>A72</f>
        <v>(w) Arrecadação do 2º período =  (x1)*(y)+(x1) </v>
      </c>
      <c r="B78" s="143"/>
      <c r="C78" s="141" t="e">
        <f>C72</f>
        <v>#DIV/0!</v>
      </c>
    </row>
    <row r="79" spans="1:3" ht="12.75">
      <c r="A79" s="138" t="str">
        <f>A24</f>
        <v>(=) Excesso Provável de Arrecadação para 2012</v>
      </c>
      <c r="B79" s="143"/>
      <c r="C79" s="141" t="e">
        <f>C77+C78-C76</f>
        <v>#DIV/0!</v>
      </c>
    </row>
    <row r="80" spans="1:3" ht="12.75">
      <c r="A80" s="138" t="str">
        <f>A25</f>
        <v>(-) Créditos Abertos p/Excesso</v>
      </c>
      <c r="B80" s="143"/>
      <c r="C80" s="154"/>
    </row>
    <row r="81" spans="1:3" ht="13.5" thickBot="1">
      <c r="A81" s="150" t="str">
        <f>A26</f>
        <v>(=) Excesso Provável Apurado</v>
      </c>
      <c r="B81" s="151"/>
      <c r="C81" s="152" t="e">
        <f>C79-C80</f>
        <v>#DIV/0!</v>
      </c>
    </row>
  </sheetData>
  <sheetProtection/>
  <mergeCells count="18">
    <mergeCell ref="A30:C30"/>
    <mergeCell ref="A31:C31"/>
    <mergeCell ref="A2:C2"/>
    <mergeCell ref="A3:C3"/>
    <mergeCell ref="A4:C4"/>
    <mergeCell ref="A5:C5"/>
    <mergeCell ref="A12:C12"/>
    <mergeCell ref="A19:C19"/>
    <mergeCell ref="A32:C32"/>
    <mergeCell ref="A33:C33"/>
    <mergeCell ref="A67:C67"/>
    <mergeCell ref="A74:C74"/>
    <mergeCell ref="A57:C57"/>
    <mergeCell ref="A58:C58"/>
    <mergeCell ref="A59:C59"/>
    <mergeCell ref="A60:C60"/>
    <mergeCell ref="A40:C40"/>
    <mergeCell ref="A47:C4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4">
      <selection activeCell="G29" sqref="G29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377" t="s">
        <v>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9"/>
    </row>
    <row r="2" spans="1:15" ht="15.75">
      <c r="A2" s="367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9"/>
    </row>
    <row r="3" spans="1:15" ht="15.75" customHeight="1" thickBot="1">
      <c r="A3" s="380" t="s">
        <v>2</v>
      </c>
      <c r="B3" s="381"/>
      <c r="C3" s="370" t="s">
        <v>153</v>
      </c>
      <c r="D3" s="371"/>
      <c r="E3" s="371"/>
      <c r="F3" s="371"/>
      <c r="G3" s="371"/>
      <c r="H3" s="371"/>
      <c r="I3" s="372"/>
      <c r="J3" s="212" t="s">
        <v>3</v>
      </c>
      <c r="K3" s="213" t="s">
        <v>172</v>
      </c>
      <c r="L3" s="387" t="s">
        <v>4</v>
      </c>
      <c r="M3" s="388"/>
      <c r="N3" s="393">
        <v>2013</v>
      </c>
      <c r="O3" s="394"/>
    </row>
    <row r="4" spans="1:15" ht="15.75" customHeight="1">
      <c r="A4" s="377" t="s">
        <v>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5" ht="12.75">
      <c r="A5" s="398" t="s">
        <v>6</v>
      </c>
      <c r="B5" s="399"/>
      <c r="C5" s="399"/>
      <c r="D5" s="399"/>
      <c r="E5" s="399"/>
      <c r="F5" s="399"/>
      <c r="G5" s="385" t="s">
        <v>7</v>
      </c>
      <c r="H5" s="386"/>
      <c r="I5" s="382" t="s">
        <v>8</v>
      </c>
      <c r="J5" s="383"/>
      <c r="K5" s="383"/>
      <c r="L5" s="384"/>
      <c r="M5" s="180" t="s">
        <v>9</v>
      </c>
      <c r="N5" s="201" t="s">
        <v>10</v>
      </c>
      <c r="O5" s="202" t="s">
        <v>11</v>
      </c>
    </row>
    <row r="6" spans="1:15" ht="12.75">
      <c r="A6" s="349" t="s">
        <v>12</v>
      </c>
      <c r="B6" s="350"/>
      <c r="C6" s="350"/>
      <c r="D6" s="350"/>
      <c r="E6" s="350"/>
      <c r="F6" s="350"/>
      <c r="G6" s="352">
        <v>480634.77</v>
      </c>
      <c r="H6" s="353"/>
      <c r="I6" s="278" t="s">
        <v>129</v>
      </c>
      <c r="J6" s="279"/>
      <c r="K6" s="279"/>
      <c r="L6" s="279"/>
      <c r="M6" s="14"/>
      <c r="N6" s="174"/>
      <c r="O6" s="175"/>
    </row>
    <row r="7" spans="1:15" ht="12.75">
      <c r="A7" s="349" t="s">
        <v>13</v>
      </c>
      <c r="B7" s="350"/>
      <c r="C7" s="350"/>
      <c r="D7" s="350"/>
      <c r="E7" s="350"/>
      <c r="F7" s="350"/>
      <c r="G7" s="352">
        <v>389244.14</v>
      </c>
      <c r="H7" s="353"/>
      <c r="I7" s="276" t="s">
        <v>111</v>
      </c>
      <c r="J7" s="277"/>
      <c r="K7" s="277"/>
      <c r="L7" s="277"/>
      <c r="M7" s="14">
        <f>7695358.31-3122716.52-1359355.09</f>
        <v>3213286.6999999993</v>
      </c>
      <c r="N7" s="174">
        <f>7572319.08-3122716.52-1359355.09</f>
        <v>3090247.4700000007</v>
      </c>
      <c r="O7" s="175">
        <f>7274289.16-3007402.6-1290937.86</f>
        <v>2975948.7</v>
      </c>
    </row>
    <row r="8" spans="1:15" ht="12.75">
      <c r="A8" s="349" t="s">
        <v>14</v>
      </c>
      <c r="B8" s="350"/>
      <c r="C8" s="350"/>
      <c r="D8" s="350"/>
      <c r="E8" s="350"/>
      <c r="F8" s="350"/>
      <c r="G8" s="352">
        <v>729654.27</v>
      </c>
      <c r="H8" s="353"/>
      <c r="I8" s="278" t="s">
        <v>112</v>
      </c>
      <c r="J8" s="279"/>
      <c r="K8" s="279"/>
      <c r="L8" s="279"/>
      <c r="M8" s="14"/>
      <c r="N8" s="174"/>
      <c r="O8" s="175"/>
    </row>
    <row r="9" spans="1:15" ht="12.75">
      <c r="A9" s="349" t="s">
        <v>15</v>
      </c>
      <c r="B9" s="350"/>
      <c r="C9" s="350"/>
      <c r="D9" s="350"/>
      <c r="E9" s="350"/>
      <c r="F9" s="350"/>
      <c r="G9" s="352">
        <v>543146.9</v>
      </c>
      <c r="H9" s="353"/>
      <c r="I9" s="278" t="s">
        <v>87</v>
      </c>
      <c r="J9" s="279"/>
      <c r="K9" s="279"/>
      <c r="L9" s="279"/>
      <c r="M9" s="14"/>
      <c r="N9" s="174"/>
      <c r="O9" s="175"/>
    </row>
    <row r="10" spans="1:15" ht="12.75">
      <c r="A10" s="349" t="s">
        <v>16</v>
      </c>
      <c r="B10" s="350"/>
      <c r="C10" s="350"/>
      <c r="D10" s="350"/>
      <c r="E10" s="350"/>
      <c r="F10" s="350"/>
      <c r="G10" s="352">
        <f>77142.59+1553.76</f>
        <v>78696.34999999999</v>
      </c>
      <c r="H10" s="353"/>
      <c r="I10" s="276" t="s">
        <v>17</v>
      </c>
      <c r="J10" s="277"/>
      <c r="K10" s="277"/>
      <c r="L10" s="277"/>
      <c r="M10" s="14"/>
      <c r="N10" s="14"/>
      <c r="O10" s="17"/>
    </row>
    <row r="11" spans="1:15" ht="12.75">
      <c r="A11" s="349" t="s">
        <v>18</v>
      </c>
      <c r="B11" s="350"/>
      <c r="C11" s="350"/>
      <c r="D11" s="350"/>
      <c r="E11" s="350"/>
      <c r="F11" s="350"/>
      <c r="G11" s="352">
        <f>35376.45+531.44</f>
        <v>35907.89</v>
      </c>
      <c r="H11" s="353"/>
      <c r="I11" s="170" t="s">
        <v>19</v>
      </c>
      <c r="J11" s="351" t="s">
        <v>20</v>
      </c>
      <c r="K11" s="351"/>
      <c r="L11" s="351"/>
      <c r="M11" s="20">
        <f>SUM(M6:M10)</f>
        <v>3213286.6999999993</v>
      </c>
      <c r="N11" s="20">
        <f>SUM(N6:N10)</f>
        <v>3090247.4700000007</v>
      </c>
      <c r="O11" s="21">
        <f>SUM(O6:O10)</f>
        <v>2975948.7</v>
      </c>
    </row>
    <row r="12" spans="1:15" ht="12.75">
      <c r="A12" s="349" t="s">
        <v>21</v>
      </c>
      <c r="B12" s="350"/>
      <c r="C12" s="350"/>
      <c r="D12" s="350"/>
      <c r="E12" s="350"/>
      <c r="F12" s="350"/>
      <c r="G12" s="352">
        <f>10172.72+122.39</f>
        <v>10295.109999999999</v>
      </c>
      <c r="H12" s="353"/>
      <c r="I12" s="65" t="s">
        <v>22</v>
      </c>
      <c r="J12" s="277" t="s">
        <v>66</v>
      </c>
      <c r="K12" s="277"/>
      <c r="L12" s="277"/>
      <c r="M12" s="14">
        <f>F32</f>
        <v>1225767.67</v>
      </c>
      <c r="N12" s="14">
        <f>M12</f>
        <v>1225767.67</v>
      </c>
      <c r="O12" s="17">
        <f>M12</f>
        <v>1225767.67</v>
      </c>
    </row>
    <row r="13" spans="1:15" ht="12.75">
      <c r="A13" s="349" t="s">
        <v>24</v>
      </c>
      <c r="B13" s="350"/>
      <c r="C13" s="350"/>
      <c r="D13" s="350"/>
      <c r="E13" s="350"/>
      <c r="F13" s="350"/>
      <c r="G13" s="352">
        <f>8244315.41</f>
        <v>8244315.41</v>
      </c>
      <c r="H13" s="353"/>
      <c r="I13" s="65" t="s">
        <v>22</v>
      </c>
      <c r="J13" s="277" t="s">
        <v>126</v>
      </c>
      <c r="K13" s="277"/>
      <c r="L13" s="277"/>
      <c r="M13" s="14">
        <f>G36</f>
        <v>5.38</v>
      </c>
      <c r="N13" s="14">
        <f>M13</f>
        <v>5.38</v>
      </c>
      <c r="O13" s="17">
        <f>M13</f>
        <v>5.38</v>
      </c>
    </row>
    <row r="14" spans="1:15" ht="12.75">
      <c r="A14" s="403" t="s">
        <v>26</v>
      </c>
      <c r="B14" s="404"/>
      <c r="C14" s="404"/>
      <c r="D14" s="404"/>
      <c r="E14" s="404"/>
      <c r="F14" s="404"/>
      <c r="G14" s="400">
        <v>390086.22</v>
      </c>
      <c r="H14" s="401"/>
      <c r="I14" s="221" t="s">
        <v>22</v>
      </c>
      <c r="J14" s="277" t="s">
        <v>130</v>
      </c>
      <c r="K14" s="277"/>
      <c r="L14" s="277"/>
      <c r="M14" s="14"/>
      <c r="N14" s="14"/>
      <c r="O14" s="17"/>
    </row>
    <row r="15" spans="1:15" ht="12.75">
      <c r="A15" s="349" t="s">
        <v>28</v>
      </c>
      <c r="B15" s="350"/>
      <c r="C15" s="350"/>
      <c r="D15" s="350"/>
      <c r="E15" s="350"/>
      <c r="F15" s="350"/>
      <c r="G15" s="352">
        <v>46224.19</v>
      </c>
      <c r="H15" s="353"/>
      <c r="I15" s="65" t="s">
        <v>162</v>
      </c>
      <c r="J15" s="402" t="s">
        <v>163</v>
      </c>
      <c r="K15" s="298"/>
      <c r="L15" s="299"/>
      <c r="M15" s="14">
        <v>0</v>
      </c>
      <c r="N15" s="14">
        <v>0</v>
      </c>
      <c r="O15" s="17">
        <v>0</v>
      </c>
    </row>
    <row r="16" spans="1:15" ht="12.75">
      <c r="A16" s="376" t="s">
        <v>30</v>
      </c>
      <c r="B16" s="310"/>
      <c r="C16" s="310"/>
      <c r="D16" s="310"/>
      <c r="E16" s="310"/>
      <c r="F16" s="311"/>
      <c r="G16" s="353">
        <v>10122948.92</v>
      </c>
      <c r="H16" s="405"/>
      <c r="I16" s="220" t="s">
        <v>19</v>
      </c>
      <c r="J16" s="165" t="s">
        <v>131</v>
      </c>
      <c r="K16" s="165"/>
      <c r="L16" s="165"/>
      <c r="M16" s="20">
        <f>M11-M12-M13-M14-M15</f>
        <v>1987513.6499999994</v>
      </c>
      <c r="N16" s="20">
        <f>N11-N12-N13-N14-N15</f>
        <v>1864474.4200000009</v>
      </c>
      <c r="O16" s="21">
        <f>O11-O12-O13-O14-O15</f>
        <v>1750175.6500000004</v>
      </c>
    </row>
    <row r="17" spans="1:15" ht="12.75">
      <c r="A17" s="376" t="s">
        <v>33</v>
      </c>
      <c r="B17" s="310"/>
      <c r="C17" s="310"/>
      <c r="D17" s="310"/>
      <c r="E17" s="310"/>
      <c r="F17" s="311"/>
      <c r="G17" s="353">
        <v>960633.89</v>
      </c>
      <c r="H17" s="405"/>
      <c r="I17" s="65" t="s">
        <v>31</v>
      </c>
      <c r="J17" s="350" t="s">
        <v>32</v>
      </c>
      <c r="K17" s="350"/>
      <c r="L17" s="350"/>
      <c r="M17" s="14">
        <f>2747231.1+21885.67+353599.75</f>
        <v>3122716.52</v>
      </c>
      <c r="N17" s="174">
        <f>2747231.1+21885.67+353599.75</f>
        <v>3122716.52</v>
      </c>
      <c r="O17" s="175">
        <f>2659819.41+21734.51+325848.68</f>
        <v>3007402.6</v>
      </c>
    </row>
    <row r="18" spans="1:15" ht="12.75">
      <c r="A18" s="349" t="s">
        <v>35</v>
      </c>
      <c r="B18" s="350"/>
      <c r="C18" s="350"/>
      <c r="D18" s="350"/>
      <c r="E18" s="350"/>
      <c r="F18" s="350"/>
      <c r="G18" s="352">
        <v>73491.4</v>
      </c>
      <c r="H18" s="353"/>
      <c r="I18" s="65" t="s">
        <v>31</v>
      </c>
      <c r="J18" s="350" t="s">
        <v>34</v>
      </c>
      <c r="K18" s="350"/>
      <c r="L18" s="350"/>
      <c r="M18" s="14">
        <f>4482071.61-3122716.52</f>
        <v>1359355.0900000003</v>
      </c>
      <c r="N18" s="174">
        <f>1359355.09</f>
        <v>1359355.09</v>
      </c>
      <c r="O18" s="175">
        <f>4298340.46-3007402.6</f>
        <v>1290937.8599999999</v>
      </c>
    </row>
    <row r="19" spans="1:15" ht="12.75">
      <c r="A19" s="349"/>
      <c r="B19" s="350"/>
      <c r="C19" s="350"/>
      <c r="D19" s="350"/>
      <c r="E19" s="350"/>
      <c r="F19" s="350"/>
      <c r="G19" s="352"/>
      <c r="H19" s="353"/>
      <c r="I19" s="65" t="s">
        <v>31</v>
      </c>
      <c r="J19" s="52" t="s">
        <v>125</v>
      </c>
      <c r="K19" s="52"/>
      <c r="L19" s="52"/>
      <c r="M19" s="14">
        <f>IF(M25&gt;G34,M25-G34,0)</f>
        <v>0</v>
      </c>
      <c r="N19" s="14">
        <f>IF(N25&gt;G34,N25-G34,0)</f>
        <v>0</v>
      </c>
      <c r="O19" s="17">
        <f>IF(O25&gt;G34,O25-G34,0)</f>
        <v>0</v>
      </c>
    </row>
    <row r="20" spans="1:15" ht="12.75">
      <c r="A20" s="359"/>
      <c r="B20" s="360"/>
      <c r="C20" s="360"/>
      <c r="D20" s="360"/>
      <c r="E20" s="360"/>
      <c r="F20" s="360"/>
      <c r="G20" s="352"/>
      <c r="H20" s="353"/>
      <c r="I20" s="173" t="s">
        <v>22</v>
      </c>
      <c r="J20" s="177" t="s">
        <v>136</v>
      </c>
      <c r="K20" s="177"/>
      <c r="L20" s="177"/>
      <c r="M20" s="156">
        <f>IF(G34&gt;M25,G34+G35-M25,0)</f>
        <v>656349.9099999997</v>
      </c>
      <c r="N20" s="156">
        <f>M20</f>
        <v>656349.9099999997</v>
      </c>
      <c r="O20" s="157">
        <f>M20</f>
        <v>656349.9099999997</v>
      </c>
    </row>
    <row r="21" spans="1:15" ht="12.75">
      <c r="A21" s="359" t="s">
        <v>37</v>
      </c>
      <c r="B21" s="360"/>
      <c r="C21" s="360"/>
      <c r="D21" s="360"/>
      <c r="E21" s="360"/>
      <c r="F21" s="360"/>
      <c r="G21" s="352">
        <f>SUM(G6:G20)</f>
        <v>22105279.46</v>
      </c>
      <c r="H21" s="353"/>
      <c r="I21" s="173"/>
      <c r="J21" s="350" t="s">
        <v>174</v>
      </c>
      <c r="K21" s="350"/>
      <c r="L21" s="350"/>
      <c r="M21" s="163">
        <v>66441.52</v>
      </c>
      <c r="N21" s="163">
        <f>M21</f>
        <v>66441.52</v>
      </c>
      <c r="O21" s="178">
        <f>M21</f>
        <v>66441.52</v>
      </c>
    </row>
    <row r="22" spans="1:15" ht="13.5" thickBot="1">
      <c r="A22" s="315"/>
      <c r="B22" s="316"/>
      <c r="C22" s="316"/>
      <c r="D22" s="316"/>
      <c r="E22" s="316"/>
      <c r="F22" s="316"/>
      <c r="G22" s="316"/>
      <c r="H22" s="316"/>
      <c r="I22" s="173"/>
      <c r="J22" s="350"/>
      <c r="K22" s="350"/>
      <c r="L22" s="350"/>
      <c r="M22" s="163"/>
      <c r="N22" s="163"/>
      <c r="O22" s="178"/>
    </row>
    <row r="23" spans="1:15" ht="13.5" thickBot="1">
      <c r="A23" s="283" t="s">
        <v>118</v>
      </c>
      <c r="B23" s="289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200" t="s">
        <v>119</v>
      </c>
      <c r="I23" s="171" t="s">
        <v>19</v>
      </c>
      <c r="J23" s="195" t="s">
        <v>39</v>
      </c>
      <c r="K23" s="195"/>
      <c r="L23" s="195"/>
      <c r="M23" s="90">
        <f>SUM(M16:M19)-M20-G37+G38+M21</f>
        <v>5879676.869999999</v>
      </c>
      <c r="N23" s="90">
        <f>SUM(N16:N19)-N20-G37+G38+N21</f>
        <v>5756637.640000001</v>
      </c>
      <c r="O23" s="91">
        <f>SUM(O16:O19)-O20-G37+G38+O21</f>
        <v>5458607.719999999</v>
      </c>
    </row>
    <row r="24" spans="1:15" ht="15.75" thickBot="1">
      <c r="A24" s="349" t="s">
        <v>120</v>
      </c>
      <c r="B24" s="350"/>
      <c r="C24" s="14">
        <v>44.61</v>
      </c>
      <c r="D24" s="14">
        <v>568774.5</v>
      </c>
      <c r="E24" s="14">
        <v>10733.2</v>
      </c>
      <c r="F24" s="14">
        <f aca="true" t="shared" si="0" ref="F24:F31">C24+D24+E24-G24-H24</f>
        <v>307216.06999999995</v>
      </c>
      <c r="G24" s="14">
        <v>0</v>
      </c>
      <c r="H24" s="157">
        <v>272336.24</v>
      </c>
      <c r="I24" s="82"/>
      <c r="J24" s="189" t="s">
        <v>41</v>
      </c>
      <c r="K24" s="158"/>
      <c r="L24" s="159"/>
      <c r="M24" s="160">
        <f>M23/G21</f>
        <v>0.2659851860565439</v>
      </c>
      <c r="N24" s="27">
        <f>N23/G21</f>
        <v>0.2604191297566161</v>
      </c>
      <c r="O24" s="28">
        <f>O23/G21</f>
        <v>0.24693683379472636</v>
      </c>
    </row>
    <row r="25" spans="1:15" ht="12.75">
      <c r="A25" s="349" t="s">
        <v>121</v>
      </c>
      <c r="B25" s="350"/>
      <c r="C25" s="14">
        <v>4119.89</v>
      </c>
      <c r="D25" s="14">
        <v>11034.3</v>
      </c>
      <c r="E25" s="14">
        <v>174.26</v>
      </c>
      <c r="F25" s="14">
        <f t="shared" si="0"/>
        <v>13608.539999999999</v>
      </c>
      <c r="G25" s="14">
        <v>0</v>
      </c>
      <c r="H25" s="157">
        <v>1719.91</v>
      </c>
      <c r="I25" s="382" t="s">
        <v>113</v>
      </c>
      <c r="J25" s="408"/>
      <c r="K25" s="408"/>
      <c r="L25" s="409"/>
      <c r="M25" s="161">
        <v>3892163.22</v>
      </c>
      <c r="N25" s="161">
        <f>M25</f>
        <v>3892163.22</v>
      </c>
      <c r="O25" s="166">
        <f>M25</f>
        <v>3892163.22</v>
      </c>
    </row>
    <row r="26" spans="1:15" ht="13.5" thickBot="1">
      <c r="A26" s="349" t="s">
        <v>122</v>
      </c>
      <c r="B26" s="350"/>
      <c r="C26" s="14">
        <v>3.05</v>
      </c>
      <c r="D26" s="14">
        <v>451859.3</v>
      </c>
      <c r="E26" s="14">
        <v>1778.64</v>
      </c>
      <c r="F26" s="14">
        <f t="shared" si="0"/>
        <v>453596.13</v>
      </c>
      <c r="G26" s="14">
        <v>0</v>
      </c>
      <c r="H26" s="157">
        <v>44.86</v>
      </c>
      <c r="I26" s="348"/>
      <c r="J26" s="348"/>
      <c r="K26" s="348"/>
      <c r="L26" s="348"/>
      <c r="M26" s="84"/>
      <c r="N26" s="84"/>
      <c r="O26" s="203"/>
    </row>
    <row r="27" spans="1:15" ht="13.5" thickBot="1">
      <c r="A27" s="357" t="s">
        <v>155</v>
      </c>
      <c r="B27" s="358"/>
      <c r="C27" s="168">
        <v>0</v>
      </c>
      <c r="D27" s="168">
        <f>264000+54552.44+37403.1</f>
        <v>355955.54</v>
      </c>
      <c r="E27" s="168">
        <v>2496.19</v>
      </c>
      <c r="F27" s="14">
        <f t="shared" si="0"/>
        <v>264169.26999999996</v>
      </c>
      <c r="G27" s="14">
        <v>0</v>
      </c>
      <c r="H27" s="157">
        <f>94282.46</f>
        <v>94282.46</v>
      </c>
      <c r="I27" s="395" t="s">
        <v>114</v>
      </c>
      <c r="J27" s="396"/>
      <c r="K27" s="396"/>
      <c r="L27" s="397"/>
      <c r="M27" s="181"/>
      <c r="N27" s="182"/>
      <c r="O27" s="183"/>
    </row>
    <row r="28" spans="1:15" ht="12.75">
      <c r="A28" s="357" t="s">
        <v>156</v>
      </c>
      <c r="B28" s="358"/>
      <c r="C28" s="168">
        <v>235305.11</v>
      </c>
      <c r="D28" s="168">
        <f>329175</f>
        <v>329175</v>
      </c>
      <c r="E28" s="168">
        <f>10260.8+2326.92</f>
        <v>12587.72</v>
      </c>
      <c r="F28" s="14">
        <f t="shared" si="0"/>
        <v>111921.00999999995</v>
      </c>
      <c r="G28" s="14">
        <v>223453.31</v>
      </c>
      <c r="H28" s="157">
        <v>241693.51</v>
      </c>
      <c r="I28" s="187"/>
      <c r="J28" s="169" t="s">
        <v>128</v>
      </c>
      <c r="K28" s="169"/>
      <c r="L28" s="169"/>
      <c r="M28" s="185">
        <f>(M17+M18-G37+G38)/(G34+G35)</f>
        <v>0.9853926946892204</v>
      </c>
      <c r="N28" s="34">
        <f>(N17+N18-G37+G38)/(G34+G35)</f>
        <v>0.9853926946892204</v>
      </c>
      <c r="O28" s="35">
        <f>(O17+O18-G37+G38)/(G34+G35)</f>
        <v>0.944999022130997</v>
      </c>
    </row>
    <row r="29" spans="1:15" ht="12.75">
      <c r="A29" s="361" t="s">
        <v>154</v>
      </c>
      <c r="B29" s="362"/>
      <c r="C29" s="168">
        <v>0</v>
      </c>
      <c r="D29" s="168">
        <v>203105.14</v>
      </c>
      <c r="E29" s="168">
        <v>2645.71</v>
      </c>
      <c r="F29" s="14">
        <f t="shared" si="0"/>
        <v>75256.65000000001</v>
      </c>
      <c r="G29" s="168">
        <v>0</v>
      </c>
      <c r="H29" s="157">
        <v>130494.2</v>
      </c>
      <c r="I29" s="188"/>
      <c r="J29" s="402" t="s">
        <v>127</v>
      </c>
      <c r="K29" s="298"/>
      <c r="L29" s="299"/>
      <c r="M29" s="186">
        <f>M17/(G34+G35)</f>
        <v>0.6865356723725672</v>
      </c>
      <c r="N29" s="101">
        <f>N17/(G34+G35)</f>
        <v>0.6865356723725672</v>
      </c>
      <c r="O29" s="164">
        <f>O17/(G34+G35)</f>
        <v>0.6611836690465924</v>
      </c>
    </row>
    <row r="30" spans="1:15" ht="12.75">
      <c r="A30" s="361"/>
      <c r="B30" s="362"/>
      <c r="C30" s="168"/>
      <c r="D30" s="168"/>
      <c r="E30" s="168"/>
      <c r="F30" s="14">
        <f t="shared" si="0"/>
        <v>0</v>
      </c>
      <c r="G30" s="14">
        <v>0</v>
      </c>
      <c r="H30" s="157"/>
      <c r="I30" s="224"/>
      <c r="J30" s="402" t="s">
        <v>170</v>
      </c>
      <c r="K30" s="298"/>
      <c r="L30" s="299"/>
      <c r="M30" s="162">
        <f>M28-M29</f>
        <v>0.29885702231665323</v>
      </c>
      <c r="N30" s="162">
        <f>N28-N29</f>
        <v>0.29885702231665323</v>
      </c>
      <c r="O30" s="162">
        <f>O28-O29</f>
        <v>0.28381535308440453</v>
      </c>
    </row>
    <row r="31" spans="1:15" ht="12.75">
      <c r="A31" s="410"/>
      <c r="B31" s="362"/>
      <c r="C31" s="168"/>
      <c r="D31" s="168"/>
      <c r="E31" s="168"/>
      <c r="F31" s="14">
        <f t="shared" si="0"/>
        <v>0</v>
      </c>
      <c r="G31" s="14"/>
      <c r="H31" s="157"/>
      <c r="I31" s="321"/>
      <c r="J31" s="360"/>
      <c r="K31" s="360"/>
      <c r="L31" s="360"/>
      <c r="M31" s="162"/>
      <c r="N31" s="162"/>
      <c r="O31" s="167"/>
    </row>
    <row r="32" spans="1:15" ht="13.5" thickBot="1">
      <c r="A32" s="411" t="s">
        <v>0</v>
      </c>
      <c r="B32" s="412"/>
      <c r="C32" s="184">
        <f aca="true" t="shared" si="1" ref="C32:H32">SUM(C24:C31)</f>
        <v>239472.65999999997</v>
      </c>
      <c r="D32" s="184">
        <f t="shared" si="1"/>
        <v>1919903.7800000003</v>
      </c>
      <c r="E32" s="184">
        <f t="shared" si="1"/>
        <v>30415.72</v>
      </c>
      <c r="F32" s="184">
        <f t="shared" si="1"/>
        <v>1225767.67</v>
      </c>
      <c r="G32" s="184">
        <f t="shared" si="1"/>
        <v>223453.31</v>
      </c>
      <c r="H32" s="59">
        <f t="shared" si="1"/>
        <v>740571.1799999999</v>
      </c>
      <c r="I32" s="292"/>
      <c r="J32" s="425"/>
      <c r="K32" s="425"/>
      <c r="L32" s="425"/>
      <c r="M32" s="37"/>
      <c r="N32" s="37"/>
      <c r="O32" s="38"/>
    </row>
    <row r="33" spans="1:15" ht="12.75">
      <c r="A33" s="413"/>
      <c r="B33" s="414"/>
      <c r="C33" s="414"/>
      <c r="D33" s="414"/>
      <c r="E33" s="414"/>
      <c r="F33" s="414"/>
      <c r="G33" s="414"/>
      <c r="H33" s="415"/>
      <c r="I33" s="363"/>
      <c r="J33" s="364"/>
      <c r="K33" s="364"/>
      <c r="L33" s="364"/>
      <c r="M33" s="34"/>
      <c r="N33" s="190"/>
      <c r="O33" s="191"/>
    </row>
    <row r="34" spans="1:15" ht="12.75">
      <c r="A34" s="359" t="s">
        <v>123</v>
      </c>
      <c r="B34" s="360"/>
      <c r="C34" s="360"/>
      <c r="D34" s="360"/>
      <c r="E34" s="360"/>
      <c r="F34" s="360"/>
      <c r="G34" s="365">
        <v>4531094.35</v>
      </c>
      <c r="H34" s="366"/>
      <c r="I34" s="359"/>
      <c r="J34" s="360"/>
      <c r="K34" s="360"/>
      <c r="L34" s="360"/>
      <c r="M34" s="162"/>
      <c r="N34" s="174"/>
      <c r="O34" s="175"/>
    </row>
    <row r="35" spans="1:15" ht="14.25" customHeight="1">
      <c r="A35" s="359" t="s">
        <v>47</v>
      </c>
      <c r="B35" s="360"/>
      <c r="C35" s="360"/>
      <c r="D35" s="360"/>
      <c r="E35" s="360"/>
      <c r="F35" s="360"/>
      <c r="G35" s="365">
        <v>17418.78</v>
      </c>
      <c r="H35" s="366"/>
      <c r="I35" s="410"/>
      <c r="J35" s="362"/>
      <c r="K35" s="362"/>
      <c r="L35" s="362"/>
      <c r="M35" s="54"/>
      <c r="N35" s="54"/>
      <c r="O35" s="192"/>
    </row>
    <row r="36" spans="1:15" ht="13.5" thickBot="1">
      <c r="A36" s="426" t="s">
        <v>116</v>
      </c>
      <c r="B36" s="427"/>
      <c r="C36" s="427"/>
      <c r="D36" s="427"/>
      <c r="E36" s="427"/>
      <c r="F36" s="427"/>
      <c r="G36" s="416">
        <v>5.38</v>
      </c>
      <c r="H36" s="417"/>
      <c r="I36" s="373" t="s">
        <v>137</v>
      </c>
      <c r="J36" s="374"/>
      <c r="K36" s="374"/>
      <c r="L36" s="375"/>
      <c r="M36" s="193">
        <f>((G6+G7+G8+G9+G10+G11+G12)*25%)+(G13+G14+G16+G17+G18+G19)*5%</f>
        <v>1556468.6495</v>
      </c>
      <c r="N36" s="193">
        <f>M36</f>
        <v>1556468.6495</v>
      </c>
      <c r="O36" s="194">
        <f>M36</f>
        <v>1556468.6495</v>
      </c>
    </row>
    <row r="37" spans="1:15" ht="13.5" thickBot="1">
      <c r="A37" s="421" t="s">
        <v>151</v>
      </c>
      <c r="B37" s="422"/>
      <c r="C37" s="422"/>
      <c r="D37" s="422"/>
      <c r="E37" s="422"/>
      <c r="F37" s="422"/>
      <c r="G37" s="423">
        <v>22185.75</v>
      </c>
      <c r="H37" s="424"/>
      <c r="I37" s="354"/>
      <c r="J37" s="355"/>
      <c r="K37" s="355"/>
      <c r="L37" s="355"/>
      <c r="M37" s="355"/>
      <c r="N37" s="355"/>
      <c r="O37" s="356"/>
    </row>
    <row r="38" spans="1:15" ht="13.5" thickBot="1">
      <c r="A38" s="341" t="s">
        <v>152</v>
      </c>
      <c r="B38" s="342"/>
      <c r="C38" s="342"/>
      <c r="D38" s="342"/>
      <c r="E38" s="342"/>
      <c r="F38" s="342"/>
      <c r="G38" s="406">
        <v>22185.75</v>
      </c>
      <c r="H38" s="407"/>
      <c r="I38" s="354"/>
      <c r="J38" s="355"/>
      <c r="K38" s="355"/>
      <c r="L38" s="355"/>
      <c r="M38" s="355"/>
      <c r="N38" s="355"/>
      <c r="O38" s="356"/>
    </row>
    <row r="39" spans="1:15" ht="12.75">
      <c r="A39" s="418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20"/>
    </row>
    <row r="40" spans="1:15" ht="12.75">
      <c r="A40" s="392" t="s">
        <v>164</v>
      </c>
      <c r="B40" s="389"/>
      <c r="C40" s="389"/>
      <c r="D40" s="389"/>
      <c r="E40" s="339" t="s">
        <v>171</v>
      </c>
      <c r="F40" s="391"/>
      <c r="G40" s="391"/>
      <c r="H40" s="391"/>
      <c r="I40" s="391"/>
      <c r="J40" s="348"/>
      <c r="K40" s="389" t="s">
        <v>165</v>
      </c>
      <c r="L40" s="389"/>
      <c r="M40" s="84"/>
      <c r="N40" s="389" t="s">
        <v>167</v>
      </c>
      <c r="O40" s="390"/>
    </row>
    <row r="41" spans="1:15" ht="13.5" thickBot="1">
      <c r="A41" s="208" t="s">
        <v>169</v>
      </c>
      <c r="B41" s="209"/>
      <c r="C41" s="209"/>
      <c r="D41" s="209"/>
      <c r="E41" s="209"/>
      <c r="F41" s="222" t="s">
        <v>53</v>
      </c>
      <c r="G41" s="209"/>
      <c r="H41" s="209"/>
      <c r="I41" s="209"/>
      <c r="J41" s="209"/>
      <c r="K41" s="222" t="s">
        <v>166</v>
      </c>
      <c r="L41" s="209"/>
      <c r="M41" s="209"/>
      <c r="N41" s="223" t="s">
        <v>168</v>
      </c>
      <c r="O41" s="211"/>
    </row>
  </sheetData>
  <sheetProtection/>
  <mergeCells count="96">
    <mergeCell ref="I34:L34"/>
    <mergeCell ref="J29:L29"/>
    <mergeCell ref="I31:L31"/>
    <mergeCell ref="A39:O39"/>
    <mergeCell ref="J30:L30"/>
    <mergeCell ref="A37:F37"/>
    <mergeCell ref="G37:H37"/>
    <mergeCell ref="I37:O37"/>
    <mergeCell ref="I32:L32"/>
    <mergeCell ref="A36:F36"/>
    <mergeCell ref="A38:F38"/>
    <mergeCell ref="G38:H38"/>
    <mergeCell ref="I25:L25"/>
    <mergeCell ref="A23:B23"/>
    <mergeCell ref="A34:F34"/>
    <mergeCell ref="A31:B31"/>
    <mergeCell ref="A32:B32"/>
    <mergeCell ref="A33:H33"/>
    <mergeCell ref="I35:L35"/>
    <mergeCell ref="G36:H36"/>
    <mergeCell ref="A11:F11"/>
    <mergeCell ref="A7:F7"/>
    <mergeCell ref="J13:L13"/>
    <mergeCell ref="J17:L17"/>
    <mergeCell ref="I7:L7"/>
    <mergeCell ref="G7:H7"/>
    <mergeCell ref="I9:L9"/>
    <mergeCell ref="A10:F10"/>
    <mergeCell ref="A8:F8"/>
    <mergeCell ref="G9:H9"/>
    <mergeCell ref="J18:L18"/>
    <mergeCell ref="J21:L21"/>
    <mergeCell ref="J15:L15"/>
    <mergeCell ref="A14:F14"/>
    <mergeCell ref="A20:F20"/>
    <mergeCell ref="G17:H17"/>
    <mergeCell ref="A18:F18"/>
    <mergeCell ref="J14:L14"/>
    <mergeCell ref="G16:H16"/>
    <mergeCell ref="A22:H22"/>
    <mergeCell ref="G19:H19"/>
    <mergeCell ref="G20:H20"/>
    <mergeCell ref="A13:F13"/>
    <mergeCell ref="G15:H15"/>
    <mergeCell ref="A15:F15"/>
    <mergeCell ref="G14:H14"/>
    <mergeCell ref="N40:O40"/>
    <mergeCell ref="K40:L40"/>
    <mergeCell ref="E40:J40"/>
    <mergeCell ref="A40:D40"/>
    <mergeCell ref="N3:O3"/>
    <mergeCell ref="G6:H6"/>
    <mergeCell ref="I27:L27"/>
    <mergeCell ref="A24:B24"/>
    <mergeCell ref="A5:F5"/>
    <mergeCell ref="G21:H21"/>
    <mergeCell ref="A1:O1"/>
    <mergeCell ref="A3:B3"/>
    <mergeCell ref="I5:L5"/>
    <mergeCell ref="G5:H5"/>
    <mergeCell ref="A4:O4"/>
    <mergeCell ref="A12:F12"/>
    <mergeCell ref="I10:L10"/>
    <mergeCell ref="J12:L12"/>
    <mergeCell ref="G8:H8"/>
    <mergeCell ref="L3:M3"/>
    <mergeCell ref="I36:L36"/>
    <mergeCell ref="G34:H34"/>
    <mergeCell ref="A25:B25"/>
    <mergeCell ref="A16:F16"/>
    <mergeCell ref="A17:F17"/>
    <mergeCell ref="A19:F19"/>
    <mergeCell ref="A21:F21"/>
    <mergeCell ref="A26:B26"/>
    <mergeCell ref="A29:B29"/>
    <mergeCell ref="G18:H18"/>
    <mergeCell ref="A30:B30"/>
    <mergeCell ref="I33:L33"/>
    <mergeCell ref="G35:H35"/>
    <mergeCell ref="A2:O2"/>
    <mergeCell ref="C3:I3"/>
    <mergeCell ref="A9:F9"/>
    <mergeCell ref="I8:L8"/>
    <mergeCell ref="G10:H10"/>
    <mergeCell ref="G11:H11"/>
    <mergeCell ref="G12:H12"/>
    <mergeCell ref="I6:L6"/>
    <mergeCell ref="I26:L26"/>
    <mergeCell ref="A6:F6"/>
    <mergeCell ref="J11:L11"/>
    <mergeCell ref="G13:H13"/>
    <mergeCell ref="I38:O38"/>
    <mergeCell ref="A27:B27"/>
    <mergeCell ref="A28:B28"/>
    <mergeCell ref="J22:L22"/>
    <mergeCell ref="A35:F3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7">
      <selection activeCell="O7" sqref="O7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442" t="s">
        <v>56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</row>
    <row r="2" spans="1:15" ht="15.75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7"/>
    </row>
    <row r="3" spans="1:15" ht="15.75" customHeight="1" thickBot="1">
      <c r="A3" s="380" t="s">
        <v>2</v>
      </c>
      <c r="B3" s="381"/>
      <c r="C3" s="448" t="s">
        <v>153</v>
      </c>
      <c r="D3" s="448"/>
      <c r="E3" s="448"/>
      <c r="F3" s="448"/>
      <c r="G3" s="448"/>
      <c r="H3" s="448"/>
      <c r="I3" s="448"/>
      <c r="J3" s="214" t="s">
        <v>3</v>
      </c>
      <c r="K3" s="370" t="s">
        <v>173</v>
      </c>
      <c r="L3" s="372"/>
      <c r="M3" s="428" t="s">
        <v>4</v>
      </c>
      <c r="N3" s="429"/>
      <c r="O3" s="225">
        <v>2013</v>
      </c>
    </row>
    <row r="4" spans="1:15" ht="15.75" customHeight="1">
      <c r="A4" s="377" t="s">
        <v>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5" ht="12.75">
      <c r="A5" s="398" t="s">
        <v>6</v>
      </c>
      <c r="B5" s="399"/>
      <c r="C5" s="399"/>
      <c r="D5" s="399"/>
      <c r="E5" s="399"/>
      <c r="F5" s="399"/>
      <c r="G5" s="449" t="s">
        <v>7</v>
      </c>
      <c r="H5" s="450"/>
      <c r="I5" s="382" t="s">
        <v>117</v>
      </c>
      <c r="J5" s="383"/>
      <c r="K5" s="383"/>
      <c r="L5" s="384"/>
      <c r="M5" s="180" t="s">
        <v>9</v>
      </c>
      <c r="N5" s="201" t="s">
        <v>10</v>
      </c>
      <c r="O5" s="202" t="s">
        <v>11</v>
      </c>
    </row>
    <row r="6" spans="1:15" ht="12.75">
      <c r="A6" s="349" t="s">
        <v>12</v>
      </c>
      <c r="B6" s="350"/>
      <c r="C6" s="350"/>
      <c r="D6" s="350"/>
      <c r="E6" s="350"/>
      <c r="F6" s="350"/>
      <c r="G6" s="352">
        <v>480634.77</v>
      </c>
      <c r="H6" s="353"/>
      <c r="I6" s="278" t="s">
        <v>58</v>
      </c>
      <c r="J6" s="279"/>
      <c r="K6" s="279"/>
      <c r="L6" s="279"/>
      <c r="M6" s="14">
        <v>7833711.91</v>
      </c>
      <c r="N6" s="174">
        <v>7493112.94</v>
      </c>
      <c r="O6" s="175">
        <v>7154033.49</v>
      </c>
    </row>
    <row r="7" spans="1:15" ht="12.75">
      <c r="A7" s="349" t="s">
        <v>13</v>
      </c>
      <c r="B7" s="350"/>
      <c r="C7" s="350"/>
      <c r="D7" s="350"/>
      <c r="E7" s="350"/>
      <c r="F7" s="350"/>
      <c r="G7" s="352">
        <v>389244.14</v>
      </c>
      <c r="H7" s="353"/>
      <c r="I7" s="276" t="s">
        <v>143</v>
      </c>
      <c r="J7" s="277"/>
      <c r="K7" s="277"/>
      <c r="L7" s="277"/>
      <c r="M7" s="14"/>
      <c r="N7" s="174"/>
      <c r="O7" s="175"/>
    </row>
    <row r="8" spans="1:15" ht="12.75">
      <c r="A8" s="349" t="s">
        <v>14</v>
      </c>
      <c r="B8" s="350"/>
      <c r="C8" s="350"/>
      <c r="D8" s="350"/>
      <c r="E8" s="350"/>
      <c r="F8" s="350"/>
      <c r="G8" s="352">
        <v>729654.27</v>
      </c>
      <c r="H8" s="353"/>
      <c r="I8" s="278" t="s">
        <v>144</v>
      </c>
      <c r="J8" s="279"/>
      <c r="K8" s="279"/>
      <c r="L8" s="279"/>
      <c r="M8" s="14"/>
      <c r="N8" s="174"/>
      <c r="O8" s="175"/>
    </row>
    <row r="9" spans="1:15" ht="12.75">
      <c r="A9" s="349" t="s">
        <v>15</v>
      </c>
      <c r="B9" s="350"/>
      <c r="C9" s="350"/>
      <c r="D9" s="350"/>
      <c r="E9" s="350"/>
      <c r="F9" s="350"/>
      <c r="G9" s="352">
        <v>543146.9</v>
      </c>
      <c r="H9" s="353"/>
      <c r="I9" s="278" t="s">
        <v>145</v>
      </c>
      <c r="J9" s="279"/>
      <c r="K9" s="279"/>
      <c r="L9" s="279"/>
      <c r="M9" s="14"/>
      <c r="N9" s="174"/>
      <c r="O9" s="175"/>
    </row>
    <row r="10" spans="1:15" ht="12.75">
      <c r="A10" s="349" t="s">
        <v>16</v>
      </c>
      <c r="B10" s="350"/>
      <c r="C10" s="350"/>
      <c r="D10" s="350"/>
      <c r="E10" s="350"/>
      <c r="F10" s="350"/>
      <c r="G10" s="352">
        <f>77142.59+1553.76</f>
        <v>78696.34999999999</v>
      </c>
      <c r="H10" s="353"/>
      <c r="I10" s="276" t="s">
        <v>146</v>
      </c>
      <c r="J10" s="277"/>
      <c r="K10" s="277"/>
      <c r="L10" s="277"/>
      <c r="M10" s="14"/>
      <c r="N10" s="14"/>
      <c r="O10" s="17"/>
    </row>
    <row r="11" spans="1:15" ht="12.75">
      <c r="A11" s="349" t="s">
        <v>18</v>
      </c>
      <c r="B11" s="350"/>
      <c r="C11" s="350"/>
      <c r="D11" s="350"/>
      <c r="E11" s="350"/>
      <c r="F11" s="350"/>
      <c r="G11" s="352">
        <f>35376.45+531.44</f>
        <v>35907.89</v>
      </c>
      <c r="H11" s="353"/>
      <c r="I11" s="319"/>
      <c r="J11" s="320"/>
      <c r="K11" s="320"/>
      <c r="L11" s="321"/>
      <c r="M11" s="20"/>
      <c r="N11" s="20"/>
      <c r="O11" s="21"/>
    </row>
    <row r="12" spans="1:15" ht="12.75">
      <c r="A12" s="349" t="s">
        <v>21</v>
      </c>
      <c r="B12" s="350"/>
      <c r="C12" s="350"/>
      <c r="D12" s="350"/>
      <c r="E12" s="350"/>
      <c r="F12" s="350"/>
      <c r="G12" s="352">
        <f>10172.72+122.39</f>
        <v>10295.109999999999</v>
      </c>
      <c r="H12" s="353"/>
      <c r="I12" s="319"/>
      <c r="J12" s="320"/>
      <c r="K12" s="320"/>
      <c r="L12" s="321"/>
      <c r="M12" s="14"/>
      <c r="N12" s="14"/>
      <c r="O12" s="17"/>
    </row>
    <row r="13" spans="1:15" ht="12.75">
      <c r="A13" s="349" t="s">
        <v>24</v>
      </c>
      <c r="B13" s="350"/>
      <c r="C13" s="350"/>
      <c r="D13" s="350"/>
      <c r="E13" s="350"/>
      <c r="F13" s="350"/>
      <c r="G13" s="352">
        <f>8244315.41</f>
        <v>8244315.41</v>
      </c>
      <c r="H13" s="353"/>
      <c r="I13" s="319"/>
      <c r="J13" s="320"/>
      <c r="K13" s="320"/>
      <c r="L13" s="321"/>
      <c r="M13" s="14"/>
      <c r="N13" s="14"/>
      <c r="O13" s="17"/>
    </row>
    <row r="14" spans="1:15" ht="12.75">
      <c r="A14" s="349" t="s">
        <v>26</v>
      </c>
      <c r="B14" s="350"/>
      <c r="C14" s="350"/>
      <c r="D14" s="350"/>
      <c r="E14" s="350"/>
      <c r="F14" s="350"/>
      <c r="G14" s="400">
        <v>390086.22</v>
      </c>
      <c r="H14" s="401"/>
      <c r="I14" s="319"/>
      <c r="J14" s="320"/>
      <c r="K14" s="320"/>
      <c r="L14" s="321"/>
      <c r="M14" s="14"/>
      <c r="N14" s="14"/>
      <c r="O14" s="17"/>
    </row>
    <row r="15" spans="1:15" ht="12.75">
      <c r="A15" s="349" t="s">
        <v>28</v>
      </c>
      <c r="B15" s="350"/>
      <c r="C15" s="350"/>
      <c r="D15" s="350"/>
      <c r="E15" s="350"/>
      <c r="F15" s="350"/>
      <c r="G15" s="352">
        <v>46224.19</v>
      </c>
      <c r="H15" s="353"/>
      <c r="I15" s="319"/>
      <c r="J15" s="320"/>
      <c r="K15" s="320"/>
      <c r="L15" s="321"/>
      <c r="M15" s="20"/>
      <c r="N15" s="20"/>
      <c r="O15" s="21"/>
    </row>
    <row r="16" spans="1:15" ht="12.75">
      <c r="A16" s="349" t="s">
        <v>30</v>
      </c>
      <c r="B16" s="350"/>
      <c r="C16" s="350"/>
      <c r="D16" s="350"/>
      <c r="E16" s="350"/>
      <c r="F16" s="350"/>
      <c r="G16" s="353">
        <v>10122948.92</v>
      </c>
      <c r="H16" s="405"/>
      <c r="I16" s="319"/>
      <c r="J16" s="320"/>
      <c r="K16" s="320"/>
      <c r="L16" s="321"/>
      <c r="M16" s="14"/>
      <c r="N16" s="174"/>
      <c r="O16" s="175"/>
    </row>
    <row r="17" spans="1:15" ht="12.75">
      <c r="A17" s="349" t="s">
        <v>33</v>
      </c>
      <c r="B17" s="350"/>
      <c r="C17" s="350"/>
      <c r="D17" s="350"/>
      <c r="E17" s="350"/>
      <c r="F17" s="350"/>
      <c r="G17" s="353">
        <v>960633.89</v>
      </c>
      <c r="H17" s="405"/>
      <c r="I17" s="319"/>
      <c r="J17" s="320"/>
      <c r="K17" s="320"/>
      <c r="L17" s="321"/>
      <c r="M17" s="14"/>
      <c r="N17" s="174"/>
      <c r="O17" s="175"/>
    </row>
    <row r="18" spans="1:15" ht="12.75">
      <c r="A18" s="349" t="s">
        <v>35</v>
      </c>
      <c r="B18" s="350"/>
      <c r="C18" s="350"/>
      <c r="D18" s="350"/>
      <c r="E18" s="350"/>
      <c r="F18" s="350"/>
      <c r="G18" s="352">
        <v>73491.4</v>
      </c>
      <c r="H18" s="353"/>
      <c r="I18" s="319"/>
      <c r="J18" s="320"/>
      <c r="K18" s="320"/>
      <c r="L18" s="321"/>
      <c r="M18" s="14"/>
      <c r="N18" s="14"/>
      <c r="O18" s="17"/>
    </row>
    <row r="19" spans="1:15" ht="12.75">
      <c r="A19" s="359"/>
      <c r="B19" s="360"/>
      <c r="C19" s="360"/>
      <c r="D19" s="360"/>
      <c r="E19" s="360"/>
      <c r="F19" s="360"/>
      <c r="G19" s="430"/>
      <c r="H19" s="431"/>
      <c r="I19" s="319"/>
      <c r="J19" s="320"/>
      <c r="K19" s="320"/>
      <c r="L19" s="321"/>
      <c r="M19" s="156"/>
      <c r="N19" s="156"/>
      <c r="O19" s="157"/>
    </row>
    <row r="20" spans="1:15" ht="13.5" thickBot="1">
      <c r="A20" s="359"/>
      <c r="B20" s="360"/>
      <c r="C20" s="360"/>
      <c r="D20" s="360"/>
      <c r="E20" s="360"/>
      <c r="F20" s="360"/>
      <c r="G20" s="430"/>
      <c r="H20" s="431"/>
      <c r="I20" s="451"/>
      <c r="J20" s="452"/>
      <c r="K20" s="452"/>
      <c r="L20" s="453"/>
      <c r="M20" s="163"/>
      <c r="N20" s="163"/>
      <c r="O20" s="178"/>
    </row>
    <row r="21" spans="1:15" ht="13.5" thickBot="1">
      <c r="A21" s="359" t="s">
        <v>37</v>
      </c>
      <c r="B21" s="360"/>
      <c r="C21" s="360"/>
      <c r="D21" s="360"/>
      <c r="E21" s="360"/>
      <c r="F21" s="360"/>
      <c r="G21" s="352">
        <f>SUM(G6:G20)</f>
        <v>22105279.46</v>
      </c>
      <c r="H21" s="431"/>
      <c r="I21" s="254" t="s">
        <v>147</v>
      </c>
      <c r="J21" s="255"/>
      <c r="K21" s="255"/>
      <c r="L21" s="307"/>
      <c r="M21" s="197">
        <f>SUM(M6:M20)</f>
        <v>7833711.91</v>
      </c>
      <c r="N21" s="197">
        <f>SUM(N6:N20)</f>
        <v>7493112.94</v>
      </c>
      <c r="O21" s="198">
        <f>SUM(O6:O20)</f>
        <v>7154033.49</v>
      </c>
    </row>
    <row r="22" spans="1:15" ht="13.5" thickBot="1">
      <c r="A22" s="315"/>
      <c r="B22" s="316"/>
      <c r="C22" s="316"/>
      <c r="D22" s="316"/>
      <c r="E22" s="316"/>
      <c r="F22" s="316"/>
      <c r="G22" s="316"/>
      <c r="H22" s="316"/>
      <c r="I22" s="315"/>
      <c r="J22" s="316"/>
      <c r="K22" s="316"/>
      <c r="L22" s="432"/>
      <c r="M22" s="74"/>
      <c r="N22" s="74"/>
      <c r="O22" s="75"/>
    </row>
    <row r="23" spans="1:15" ht="13.5" thickBot="1">
      <c r="A23" s="363" t="s">
        <v>118</v>
      </c>
      <c r="B23" s="364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64" t="s">
        <v>119</v>
      </c>
      <c r="I23" s="254" t="s">
        <v>148</v>
      </c>
      <c r="J23" s="255"/>
      <c r="K23" s="255"/>
      <c r="L23" s="307"/>
      <c r="M23" s="76">
        <f>F36</f>
        <v>1836554.72</v>
      </c>
      <c r="N23" s="76">
        <f>M23</f>
        <v>1836554.72</v>
      </c>
      <c r="O23" s="77">
        <f>M23</f>
        <v>1836554.72</v>
      </c>
    </row>
    <row r="24" spans="1:15" ht="15.75" thickBot="1">
      <c r="A24" s="349" t="s">
        <v>138</v>
      </c>
      <c r="B24" s="350"/>
      <c r="C24" s="14">
        <f>5131.12</f>
        <v>5131.12</v>
      </c>
      <c r="D24" s="14">
        <f>332456.71+256680+182400+80280+272800+13936</f>
        <v>1138552.71</v>
      </c>
      <c r="E24" s="14">
        <f>3782.62+10.32</f>
        <v>3792.94</v>
      </c>
      <c r="F24" s="14">
        <f>C24+D24+E24-G24-H24</f>
        <v>1129329.77</v>
      </c>
      <c r="G24" s="14">
        <v>0</v>
      </c>
      <c r="H24" s="157">
        <f>18147</f>
        <v>18147</v>
      </c>
      <c r="I24" s="435"/>
      <c r="J24" s="435"/>
      <c r="K24" s="435"/>
      <c r="L24" s="436"/>
      <c r="M24" s="160"/>
      <c r="N24" s="27"/>
      <c r="O24" s="28"/>
    </row>
    <row r="25" spans="1:15" ht="13.5" thickBot="1">
      <c r="A25" s="349" t="s">
        <v>142</v>
      </c>
      <c r="B25" s="350"/>
      <c r="C25" s="14">
        <f>123.85+7063.9</f>
        <v>7187.75</v>
      </c>
      <c r="D25" s="14">
        <f>32897.29</f>
        <v>32897.29</v>
      </c>
      <c r="E25" s="14">
        <v>380.19</v>
      </c>
      <c r="F25" s="14">
        <f aca="true" t="shared" si="0" ref="F25:F35">C25+D25+E25-G25-H25</f>
        <v>23102.800000000003</v>
      </c>
      <c r="G25" s="14">
        <v>0</v>
      </c>
      <c r="H25" s="157">
        <f>123.85+17238.58</f>
        <v>17362.43</v>
      </c>
      <c r="I25" s="254" t="s">
        <v>149</v>
      </c>
      <c r="J25" s="433"/>
      <c r="K25" s="433"/>
      <c r="L25" s="434"/>
      <c r="M25" s="76">
        <f>M21-M23</f>
        <v>5997157.19</v>
      </c>
      <c r="N25" s="76">
        <f>N21-N23</f>
        <v>5656558.220000001</v>
      </c>
      <c r="O25" s="77">
        <f>O21-O23</f>
        <v>5317478.7700000005</v>
      </c>
    </row>
    <row r="26" spans="1:15" ht="13.5" thickBot="1">
      <c r="A26" s="349" t="s">
        <v>139</v>
      </c>
      <c r="B26" s="350"/>
      <c r="C26" s="14">
        <f>20860.71</f>
        <v>20860.71</v>
      </c>
      <c r="D26" s="14">
        <f>39398.76+7500+5148.96</f>
        <v>52047.72</v>
      </c>
      <c r="E26" s="14">
        <v>830.05</v>
      </c>
      <c r="F26" s="14">
        <f t="shared" si="0"/>
        <v>73668.84</v>
      </c>
      <c r="G26" s="14">
        <v>0</v>
      </c>
      <c r="H26" s="157">
        <f>69.64</f>
        <v>69.64</v>
      </c>
      <c r="I26" s="348"/>
      <c r="J26" s="348"/>
      <c r="K26" s="348"/>
      <c r="L26" s="348"/>
      <c r="M26" s="84"/>
      <c r="N26" s="84"/>
      <c r="O26" s="203"/>
    </row>
    <row r="27" spans="1:15" ht="13.5" thickBot="1">
      <c r="A27" s="410" t="s">
        <v>140</v>
      </c>
      <c r="B27" s="362"/>
      <c r="C27" s="168">
        <f>14259.35</f>
        <v>14259.35</v>
      </c>
      <c r="D27" s="168">
        <f>213469.64+7625+6000+153125+20</f>
        <v>380239.64</v>
      </c>
      <c r="E27" s="168">
        <v>800.87</v>
      </c>
      <c r="F27" s="14">
        <f t="shared" si="0"/>
        <v>394732.64999999997</v>
      </c>
      <c r="G27" s="14">
        <v>0</v>
      </c>
      <c r="H27" s="157">
        <f>567.21</f>
        <v>567.21</v>
      </c>
      <c r="I27" s="395" t="s">
        <v>150</v>
      </c>
      <c r="J27" s="396"/>
      <c r="K27" s="396"/>
      <c r="L27" s="397"/>
      <c r="M27" s="215">
        <f>M25/G21</f>
        <v>0.27129976804192824</v>
      </c>
      <c r="N27" s="216">
        <f>N25/G21</f>
        <v>0.25589173076213173</v>
      </c>
      <c r="O27" s="217">
        <f>O25/G21</f>
        <v>0.24055243362211717</v>
      </c>
    </row>
    <row r="28" spans="1:15" ht="12.75">
      <c r="A28" s="410" t="s">
        <v>141</v>
      </c>
      <c r="B28" s="362"/>
      <c r="C28" s="168">
        <v>18491.96</v>
      </c>
      <c r="D28" s="168">
        <v>96000</v>
      </c>
      <c r="E28" s="168">
        <v>0</v>
      </c>
      <c r="F28" s="14">
        <f t="shared" si="0"/>
        <v>95677.46999999999</v>
      </c>
      <c r="G28" s="14">
        <v>0</v>
      </c>
      <c r="H28" s="179">
        <f>18814.49</f>
        <v>18814.49</v>
      </c>
      <c r="I28" s="363"/>
      <c r="J28" s="364"/>
      <c r="K28" s="364"/>
      <c r="L28" s="364"/>
      <c r="M28" s="34"/>
      <c r="N28" s="34"/>
      <c r="O28" s="35"/>
    </row>
    <row r="29" spans="1:15" ht="12.75">
      <c r="A29" s="361" t="s">
        <v>160</v>
      </c>
      <c r="B29" s="362"/>
      <c r="C29" s="168">
        <v>0</v>
      </c>
      <c r="D29" s="168">
        <v>5812</v>
      </c>
      <c r="E29" s="168">
        <v>0</v>
      </c>
      <c r="F29" s="14">
        <f t="shared" si="0"/>
        <v>5812</v>
      </c>
      <c r="G29" s="168">
        <v>0</v>
      </c>
      <c r="H29" s="179"/>
      <c r="I29" s="359"/>
      <c r="J29" s="360"/>
      <c r="K29" s="360"/>
      <c r="L29" s="360"/>
      <c r="M29" s="162"/>
      <c r="N29" s="162"/>
      <c r="O29" s="167"/>
    </row>
    <row r="30" spans="1:15" ht="12.75">
      <c r="A30" s="361" t="s">
        <v>161</v>
      </c>
      <c r="B30" s="362"/>
      <c r="C30" s="168">
        <v>0</v>
      </c>
      <c r="D30" s="168">
        <v>26631</v>
      </c>
      <c r="E30" s="168">
        <v>0</v>
      </c>
      <c r="F30" s="14">
        <f t="shared" si="0"/>
        <v>26631</v>
      </c>
      <c r="G30" s="14">
        <v>0</v>
      </c>
      <c r="H30" s="179"/>
      <c r="I30" s="359"/>
      <c r="J30" s="360"/>
      <c r="K30" s="360"/>
      <c r="L30" s="360"/>
      <c r="M30" s="162"/>
      <c r="N30" s="162"/>
      <c r="O30" s="167"/>
    </row>
    <row r="31" spans="1:15" ht="12.75">
      <c r="A31" s="361" t="s">
        <v>157</v>
      </c>
      <c r="B31" s="362"/>
      <c r="C31" s="168">
        <v>5.68</v>
      </c>
      <c r="D31" s="168"/>
      <c r="E31" s="168">
        <v>0.14</v>
      </c>
      <c r="F31" s="14">
        <f t="shared" si="0"/>
        <v>0</v>
      </c>
      <c r="G31" s="14">
        <v>0</v>
      </c>
      <c r="H31" s="179">
        <v>5.82</v>
      </c>
      <c r="I31" s="359"/>
      <c r="J31" s="360"/>
      <c r="K31" s="360"/>
      <c r="L31" s="360"/>
      <c r="M31" s="162"/>
      <c r="N31" s="162"/>
      <c r="O31" s="167"/>
    </row>
    <row r="32" spans="1:15" ht="12.75">
      <c r="A32" s="361" t="s">
        <v>158</v>
      </c>
      <c r="B32" s="362"/>
      <c r="C32" s="168">
        <f>52.75+612.2</f>
        <v>664.95</v>
      </c>
      <c r="D32" s="168"/>
      <c r="E32" s="168">
        <v>0</v>
      </c>
      <c r="F32" s="14">
        <f t="shared" si="0"/>
        <v>664.95</v>
      </c>
      <c r="G32" s="168">
        <v>0</v>
      </c>
      <c r="H32" s="218"/>
      <c r="I32" s="359"/>
      <c r="J32" s="360"/>
      <c r="K32" s="360"/>
      <c r="L32" s="360"/>
      <c r="M32" s="162"/>
      <c r="N32" s="162"/>
      <c r="O32" s="167"/>
    </row>
    <row r="33" spans="1:15" ht="12.75">
      <c r="A33" s="349" t="s">
        <v>159</v>
      </c>
      <c r="B33" s="350"/>
      <c r="C33" s="14">
        <f>12067.88+14457.34+14930.61</f>
        <v>41455.83</v>
      </c>
      <c r="D33" s="14">
        <f>10937.98+36000+81600+43200</f>
        <v>171737.97999999998</v>
      </c>
      <c r="E33" s="14">
        <f>2238+1205.42+712.53+248.58+1049.68+1043.84</f>
        <v>6498.05</v>
      </c>
      <c r="F33" s="14">
        <f t="shared" si="0"/>
        <v>50935.23999999999</v>
      </c>
      <c r="G33" s="14">
        <v>0</v>
      </c>
      <c r="H33" s="219">
        <f>12418.78+14877.72+15364.75+236.56+37049.68+6165.29+82643.84</f>
        <v>168756.62</v>
      </c>
      <c r="I33" s="359"/>
      <c r="J33" s="360"/>
      <c r="K33" s="360"/>
      <c r="L33" s="360"/>
      <c r="M33" s="162"/>
      <c r="N33" s="174"/>
      <c r="O33" s="175"/>
    </row>
    <row r="34" spans="1:15" ht="12.75">
      <c r="A34" s="349" t="s">
        <v>175</v>
      </c>
      <c r="B34" s="350"/>
      <c r="C34" s="14"/>
      <c r="D34" s="14">
        <v>36000</v>
      </c>
      <c r="E34" s="14"/>
      <c r="F34" s="14">
        <f t="shared" si="0"/>
        <v>36000</v>
      </c>
      <c r="G34" s="172">
        <v>0</v>
      </c>
      <c r="H34" s="107"/>
      <c r="I34" s="359"/>
      <c r="J34" s="360"/>
      <c r="K34" s="360"/>
      <c r="L34" s="360"/>
      <c r="M34" s="162"/>
      <c r="N34" s="174"/>
      <c r="O34" s="175"/>
    </row>
    <row r="35" spans="1:15" ht="14.25" customHeight="1">
      <c r="A35" s="349"/>
      <c r="B35" s="350"/>
      <c r="C35" s="172"/>
      <c r="D35" s="172"/>
      <c r="E35" s="172"/>
      <c r="F35" s="14">
        <f t="shared" si="0"/>
        <v>0</v>
      </c>
      <c r="G35" s="172">
        <v>0</v>
      </c>
      <c r="H35" s="107"/>
      <c r="I35" s="410"/>
      <c r="J35" s="362"/>
      <c r="K35" s="362"/>
      <c r="L35" s="362"/>
      <c r="M35" s="54"/>
      <c r="N35" s="54"/>
      <c r="O35" s="192"/>
    </row>
    <row r="36" spans="1:15" ht="13.5" thickBot="1">
      <c r="A36" s="411" t="s">
        <v>0</v>
      </c>
      <c r="B36" s="412"/>
      <c r="C36" s="184">
        <f aca="true" t="shared" si="1" ref="C36:H36">SUM(C24:C35)</f>
        <v>108057.34999999999</v>
      </c>
      <c r="D36" s="184">
        <f t="shared" si="1"/>
        <v>1939918.3399999999</v>
      </c>
      <c r="E36" s="184">
        <f t="shared" si="1"/>
        <v>12302.240000000002</v>
      </c>
      <c r="F36" s="184">
        <f t="shared" si="1"/>
        <v>1836554.72</v>
      </c>
      <c r="G36" s="184">
        <f t="shared" si="1"/>
        <v>0</v>
      </c>
      <c r="H36" s="184">
        <f t="shared" si="1"/>
        <v>223723.21</v>
      </c>
      <c r="I36" s="440"/>
      <c r="J36" s="441"/>
      <c r="K36" s="441"/>
      <c r="L36" s="441"/>
      <c r="M36" s="193"/>
      <c r="N36" s="193"/>
      <c r="O36" s="194"/>
    </row>
    <row r="37" spans="1:15" ht="12.75">
      <c r="A37" s="20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205"/>
      <c r="O37" s="206"/>
    </row>
    <row r="38" spans="1:15" ht="12.75">
      <c r="A38" s="20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205"/>
      <c r="O38" s="206"/>
    </row>
    <row r="39" spans="1:15" ht="12.75">
      <c r="A39" s="1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84"/>
      <c r="N39" s="176"/>
      <c r="O39" s="207"/>
    </row>
    <row r="40" spans="1:15" ht="12.75">
      <c r="A40" s="437" t="s">
        <v>115</v>
      </c>
      <c r="B40" s="438"/>
      <c r="C40" s="438"/>
      <c r="D40" s="196"/>
      <c r="E40" s="438" t="s">
        <v>84</v>
      </c>
      <c r="F40" s="438"/>
      <c r="G40" s="438"/>
      <c r="H40" s="438"/>
      <c r="I40" s="196"/>
      <c r="J40" s="196"/>
      <c r="K40" s="348" t="s">
        <v>54</v>
      </c>
      <c r="L40" s="348"/>
      <c r="M40" s="84"/>
      <c r="N40" s="348" t="s">
        <v>55</v>
      </c>
      <c r="O40" s="439"/>
    </row>
    <row r="41" spans="1:15" ht="13.5" thickBot="1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10"/>
      <c r="O41" s="211"/>
    </row>
  </sheetData>
  <sheetProtection/>
  <mergeCells count="92">
    <mergeCell ref="G16:H16"/>
    <mergeCell ref="I16:L16"/>
    <mergeCell ref="I17:L17"/>
    <mergeCell ref="I18:L18"/>
    <mergeCell ref="I19:L19"/>
    <mergeCell ref="I21:L21"/>
    <mergeCell ref="I9:L9"/>
    <mergeCell ref="I11:L11"/>
    <mergeCell ref="I20:L20"/>
    <mergeCell ref="I10:L10"/>
    <mergeCell ref="I12:L12"/>
    <mergeCell ref="I13:L13"/>
    <mergeCell ref="G8:H8"/>
    <mergeCell ref="I14:L14"/>
    <mergeCell ref="I15:L15"/>
    <mergeCell ref="A8:F8"/>
    <mergeCell ref="A9:F9"/>
    <mergeCell ref="A10:F10"/>
    <mergeCell ref="I8:L8"/>
    <mergeCell ref="G9:H9"/>
    <mergeCell ref="G10:H10"/>
    <mergeCell ref="G11:H11"/>
    <mergeCell ref="C3:I3"/>
    <mergeCell ref="A3:B3"/>
    <mergeCell ref="A4:O4"/>
    <mergeCell ref="A6:F6"/>
    <mergeCell ref="A5:F5"/>
    <mergeCell ref="I6:L6"/>
    <mergeCell ref="I5:L5"/>
    <mergeCell ref="G5:H5"/>
    <mergeCell ref="N40:O40"/>
    <mergeCell ref="K40:L40"/>
    <mergeCell ref="I36:L36"/>
    <mergeCell ref="I34:L34"/>
    <mergeCell ref="A1:O1"/>
    <mergeCell ref="I7:L7"/>
    <mergeCell ref="G6:H6"/>
    <mergeCell ref="G7:H7"/>
    <mergeCell ref="A7:F7"/>
    <mergeCell ref="A2:O2"/>
    <mergeCell ref="A40:C40"/>
    <mergeCell ref="E40:H40"/>
    <mergeCell ref="A36:B36"/>
    <mergeCell ref="A30:B30"/>
    <mergeCell ref="A32:B32"/>
    <mergeCell ref="I33:L33"/>
    <mergeCell ref="A33:B33"/>
    <mergeCell ref="A34:B34"/>
    <mergeCell ref="A35:B35"/>
    <mergeCell ref="I35:L35"/>
    <mergeCell ref="A26:B26"/>
    <mergeCell ref="A24:B24"/>
    <mergeCell ref="A25:B25"/>
    <mergeCell ref="A29:B29"/>
    <mergeCell ref="A31:B31"/>
    <mergeCell ref="A27:B27"/>
    <mergeCell ref="A28:B28"/>
    <mergeCell ref="A22:H22"/>
    <mergeCell ref="A23:B23"/>
    <mergeCell ref="A18:F18"/>
    <mergeCell ref="A19:F19"/>
    <mergeCell ref="G19:H19"/>
    <mergeCell ref="A20:F20"/>
    <mergeCell ref="A21:F21"/>
    <mergeCell ref="G18:H18"/>
    <mergeCell ref="I23:L23"/>
    <mergeCell ref="I24:L24"/>
    <mergeCell ref="A16:F16"/>
    <mergeCell ref="A15:F15"/>
    <mergeCell ref="A12:F12"/>
    <mergeCell ref="G12:H12"/>
    <mergeCell ref="G13:H13"/>
    <mergeCell ref="G21:H21"/>
    <mergeCell ref="G17:H17"/>
    <mergeCell ref="A17:F17"/>
    <mergeCell ref="I29:L29"/>
    <mergeCell ref="I28:L28"/>
    <mergeCell ref="I31:L31"/>
    <mergeCell ref="I26:L26"/>
    <mergeCell ref="I30:L30"/>
    <mergeCell ref="I25:L25"/>
    <mergeCell ref="I27:L27"/>
    <mergeCell ref="I32:L32"/>
    <mergeCell ref="M3:N3"/>
    <mergeCell ref="K3:L3"/>
    <mergeCell ref="A13:F13"/>
    <mergeCell ref="A14:F14"/>
    <mergeCell ref="A11:F11"/>
    <mergeCell ref="G20:H20"/>
    <mergeCell ref="G14:H14"/>
    <mergeCell ref="G15:H15"/>
    <mergeCell ref="I22:L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6">
      <selection activeCell="M41" sqref="M41"/>
    </sheetView>
  </sheetViews>
  <sheetFormatPr defaultColWidth="9.140625" defaultRowHeight="12.75"/>
  <cols>
    <col min="2" max="2" width="7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6" width="11.7109375" style="0" bestFit="1" customWidth="1"/>
    <col min="7" max="7" width="10.8515625" style="0" customWidth="1"/>
    <col min="8" max="8" width="11.421875" style="0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7109375" style="0" customWidth="1"/>
    <col min="14" max="14" width="13.140625" style="0" customWidth="1"/>
    <col min="15" max="15" width="12.8515625" style="0" bestFit="1" customWidth="1"/>
  </cols>
  <sheetData>
    <row r="1" spans="1:15" ht="16.5" thickBot="1">
      <c r="A1" s="484" t="s">
        <v>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6"/>
    </row>
    <row r="2" spans="1:15" ht="3.75" customHeight="1" thickBot="1">
      <c r="A2" s="487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9"/>
    </row>
    <row r="3" spans="1:15" ht="15.75" customHeight="1" thickBot="1">
      <c r="A3" s="490" t="s">
        <v>2</v>
      </c>
      <c r="B3" s="491"/>
      <c r="C3" s="467" t="s">
        <v>153</v>
      </c>
      <c r="D3" s="467"/>
      <c r="E3" s="467"/>
      <c r="F3" s="467"/>
      <c r="G3" s="467"/>
      <c r="H3" s="467"/>
      <c r="I3" s="468"/>
      <c r="J3" s="235" t="s">
        <v>3</v>
      </c>
      <c r="K3" s="467" t="s">
        <v>172</v>
      </c>
      <c r="L3" s="468"/>
      <c r="M3" s="465" t="s">
        <v>4</v>
      </c>
      <c r="N3" s="466"/>
      <c r="O3" s="236">
        <v>2016</v>
      </c>
    </row>
    <row r="4" spans="1:15" ht="15.75" customHeight="1" thickBot="1">
      <c r="A4" s="479" t="s">
        <v>5</v>
      </c>
      <c r="B4" s="480"/>
      <c r="C4" s="480"/>
      <c r="D4" s="480"/>
      <c r="E4" s="480"/>
      <c r="F4" s="480"/>
      <c r="G4" s="480"/>
      <c r="H4" s="480"/>
      <c r="I4" s="481"/>
      <c r="J4" s="481"/>
      <c r="K4" s="481"/>
      <c r="L4" s="481"/>
      <c r="M4" s="482"/>
      <c r="N4" s="482"/>
      <c r="O4" s="483"/>
    </row>
    <row r="5" spans="1:15" ht="12.75">
      <c r="A5" s="398" t="s">
        <v>6</v>
      </c>
      <c r="B5" s="399"/>
      <c r="C5" s="399"/>
      <c r="D5" s="399"/>
      <c r="E5" s="399"/>
      <c r="F5" s="399"/>
      <c r="G5" s="385" t="s">
        <v>7</v>
      </c>
      <c r="H5" s="386"/>
      <c r="I5" s="283" t="s">
        <v>8</v>
      </c>
      <c r="J5" s="288"/>
      <c r="K5" s="288"/>
      <c r="L5" s="289"/>
      <c r="M5" s="8" t="s">
        <v>9</v>
      </c>
      <c r="N5" s="9" t="s">
        <v>10</v>
      </c>
      <c r="O5" s="10" t="s">
        <v>11</v>
      </c>
    </row>
    <row r="6" spans="1:15" ht="12.75">
      <c r="A6" s="349" t="s">
        <v>12</v>
      </c>
      <c r="B6" s="350"/>
      <c r="C6" s="350"/>
      <c r="D6" s="350"/>
      <c r="E6" s="350"/>
      <c r="F6" s="350"/>
      <c r="G6" s="352">
        <v>639911.14</v>
      </c>
      <c r="H6" s="353"/>
      <c r="I6" s="278" t="s">
        <v>129</v>
      </c>
      <c r="J6" s="279"/>
      <c r="K6" s="279"/>
      <c r="L6" s="279"/>
      <c r="M6" s="14">
        <v>0</v>
      </c>
      <c r="N6" s="14">
        <v>0</v>
      </c>
      <c r="O6" s="17">
        <v>0</v>
      </c>
    </row>
    <row r="7" spans="1:15" ht="12.75">
      <c r="A7" s="349" t="s">
        <v>15</v>
      </c>
      <c r="B7" s="350"/>
      <c r="C7" s="350"/>
      <c r="D7" s="350"/>
      <c r="E7" s="350"/>
      <c r="F7" s="350"/>
      <c r="G7" s="352">
        <v>762119.75</v>
      </c>
      <c r="H7" s="353"/>
      <c r="I7" s="276" t="s">
        <v>111</v>
      </c>
      <c r="J7" s="277"/>
      <c r="K7" s="277"/>
      <c r="L7" s="277"/>
      <c r="M7" s="14">
        <v>2319315.02</v>
      </c>
      <c r="N7" s="174">
        <v>2319315.02</v>
      </c>
      <c r="O7" s="175">
        <v>2161523.88</v>
      </c>
    </row>
    <row r="8" spans="1:15" ht="12.75">
      <c r="A8" s="349" t="s">
        <v>178</v>
      </c>
      <c r="B8" s="350"/>
      <c r="C8" s="350"/>
      <c r="D8" s="350"/>
      <c r="E8" s="350"/>
      <c r="F8" s="350"/>
      <c r="G8" s="352">
        <v>288653.98</v>
      </c>
      <c r="H8" s="353"/>
      <c r="I8" s="278" t="s">
        <v>112</v>
      </c>
      <c r="J8" s="279"/>
      <c r="K8" s="279"/>
      <c r="L8" s="279"/>
      <c r="M8" s="14">
        <v>198867.68</v>
      </c>
      <c r="N8" s="14">
        <v>198867.68</v>
      </c>
      <c r="O8" s="17">
        <v>175276.35</v>
      </c>
    </row>
    <row r="9" spans="1:15" ht="12.75">
      <c r="A9" s="349" t="s">
        <v>179</v>
      </c>
      <c r="B9" s="350"/>
      <c r="C9" s="350"/>
      <c r="D9" s="350"/>
      <c r="E9" s="350"/>
      <c r="F9" s="350"/>
      <c r="G9" s="352">
        <v>811554.77</v>
      </c>
      <c r="H9" s="353"/>
      <c r="I9" s="278" t="s">
        <v>87</v>
      </c>
      <c r="J9" s="279"/>
      <c r="K9" s="279"/>
      <c r="L9" s="279"/>
      <c r="M9" s="14">
        <v>0</v>
      </c>
      <c r="N9" s="14">
        <v>0</v>
      </c>
      <c r="O9" s="17">
        <v>0</v>
      </c>
    </row>
    <row r="10" spans="1:15" ht="12.75">
      <c r="A10" s="376" t="s">
        <v>24</v>
      </c>
      <c r="B10" s="310"/>
      <c r="C10" s="310"/>
      <c r="D10" s="310"/>
      <c r="E10" s="310"/>
      <c r="F10" s="311"/>
      <c r="G10" s="352">
        <v>10105668.58</v>
      </c>
      <c r="H10" s="353"/>
      <c r="I10" s="276" t="s">
        <v>17</v>
      </c>
      <c r="J10" s="277"/>
      <c r="K10" s="277"/>
      <c r="L10" s="277"/>
      <c r="M10" s="14">
        <v>0</v>
      </c>
      <c r="N10" s="14">
        <v>0</v>
      </c>
      <c r="O10" s="17">
        <v>0</v>
      </c>
    </row>
    <row r="11" spans="1:15" ht="12.75">
      <c r="A11" s="376" t="s">
        <v>186</v>
      </c>
      <c r="B11" s="310"/>
      <c r="C11" s="310"/>
      <c r="D11" s="310"/>
      <c r="E11" s="310"/>
      <c r="F11" s="311"/>
      <c r="G11" s="352">
        <f>419639.71+298224.98</f>
        <v>717864.69</v>
      </c>
      <c r="H11" s="353"/>
      <c r="I11" s="170" t="s">
        <v>19</v>
      </c>
      <c r="J11" s="351" t="s">
        <v>20</v>
      </c>
      <c r="K11" s="351"/>
      <c r="L11" s="351"/>
      <c r="M11" s="20">
        <f>SUM(M6:M10)</f>
        <v>2518182.7</v>
      </c>
      <c r="N11" s="20">
        <f>SUM(N6:N10)</f>
        <v>2518182.7</v>
      </c>
      <c r="O11" s="21">
        <f>SUM(O6:O10)</f>
        <v>2336800.23</v>
      </c>
    </row>
    <row r="12" spans="1:15" ht="12.75">
      <c r="A12" s="376" t="s">
        <v>26</v>
      </c>
      <c r="B12" s="310"/>
      <c r="C12" s="310"/>
      <c r="D12" s="310"/>
      <c r="E12" s="310"/>
      <c r="F12" s="311"/>
      <c r="G12" s="352">
        <v>621532.52</v>
      </c>
      <c r="H12" s="353"/>
      <c r="I12" s="65"/>
      <c r="J12" s="277"/>
      <c r="K12" s="277"/>
      <c r="L12" s="277"/>
      <c r="M12" s="14"/>
      <c r="N12" s="14"/>
      <c r="O12" s="17"/>
    </row>
    <row r="13" spans="1:15" ht="12.75">
      <c r="A13" s="376" t="s">
        <v>28</v>
      </c>
      <c r="B13" s="310"/>
      <c r="C13" s="310"/>
      <c r="D13" s="310"/>
      <c r="E13" s="310"/>
      <c r="F13" s="311"/>
      <c r="G13" s="352">
        <v>52565.88</v>
      </c>
      <c r="H13" s="353"/>
      <c r="I13" s="65" t="s">
        <v>22</v>
      </c>
      <c r="J13" s="277" t="s">
        <v>126</v>
      </c>
      <c r="K13" s="277"/>
      <c r="L13" s="277"/>
      <c r="M13" s="14">
        <f>G34</f>
        <v>0</v>
      </c>
      <c r="N13" s="14">
        <f>M13</f>
        <v>0</v>
      </c>
      <c r="O13" s="17">
        <f>M13</f>
        <v>0</v>
      </c>
    </row>
    <row r="14" spans="1:15" ht="12.75">
      <c r="A14" s="376" t="s">
        <v>30</v>
      </c>
      <c r="B14" s="310"/>
      <c r="C14" s="310"/>
      <c r="D14" s="310"/>
      <c r="E14" s="310"/>
      <c r="F14" s="311"/>
      <c r="G14" s="400">
        <v>10764861.59</v>
      </c>
      <c r="H14" s="401"/>
      <c r="I14" s="221" t="s">
        <v>22</v>
      </c>
      <c r="J14" s="277" t="s">
        <v>130</v>
      </c>
      <c r="K14" s="277"/>
      <c r="L14" s="277"/>
      <c r="M14" s="14">
        <v>0</v>
      </c>
      <c r="N14" s="14">
        <v>0</v>
      </c>
      <c r="O14" s="17">
        <v>0</v>
      </c>
    </row>
    <row r="15" spans="1:15" ht="12.75">
      <c r="A15" s="376" t="s">
        <v>33</v>
      </c>
      <c r="B15" s="310"/>
      <c r="C15" s="310"/>
      <c r="D15" s="310"/>
      <c r="E15" s="310"/>
      <c r="F15" s="311"/>
      <c r="G15" s="352">
        <v>1218754.39</v>
      </c>
      <c r="H15" s="353"/>
      <c r="I15" s="65" t="s">
        <v>162</v>
      </c>
      <c r="J15" s="402" t="s">
        <v>163</v>
      </c>
      <c r="K15" s="298"/>
      <c r="L15" s="299"/>
      <c r="M15" s="14">
        <v>0</v>
      </c>
      <c r="N15" s="14">
        <v>0</v>
      </c>
      <c r="O15" s="17">
        <v>0</v>
      </c>
    </row>
    <row r="16" spans="1:15" ht="12.75">
      <c r="A16" s="376" t="s">
        <v>35</v>
      </c>
      <c r="B16" s="310"/>
      <c r="C16" s="310"/>
      <c r="D16" s="310"/>
      <c r="E16" s="310"/>
      <c r="F16" s="311"/>
      <c r="G16" s="353">
        <v>73665.65</v>
      </c>
      <c r="H16" s="405"/>
      <c r="I16" s="220" t="s">
        <v>19</v>
      </c>
      <c r="J16" s="165" t="s">
        <v>131</v>
      </c>
      <c r="K16" s="165"/>
      <c r="L16" s="165"/>
      <c r="M16" s="20">
        <f>M11-M13-M14-M15</f>
        <v>2518182.7</v>
      </c>
      <c r="N16" s="20">
        <f>N11-N13-N14-N15</f>
        <v>2518182.7</v>
      </c>
      <c r="O16" s="21">
        <f>O11-O13-O14-O15</f>
        <v>2336800.23</v>
      </c>
    </row>
    <row r="17" spans="1:15" ht="12.75">
      <c r="A17" s="376" t="s">
        <v>180</v>
      </c>
      <c r="B17" s="310"/>
      <c r="C17" s="310"/>
      <c r="D17" s="310"/>
      <c r="E17" s="310"/>
      <c r="F17" s="311"/>
      <c r="G17" s="353">
        <f>14048.17+9959.58</f>
        <v>24007.75</v>
      </c>
      <c r="H17" s="405"/>
      <c r="I17" s="65" t="s">
        <v>31</v>
      </c>
      <c r="J17" s="350" t="s">
        <v>32</v>
      </c>
      <c r="K17" s="350"/>
      <c r="L17" s="350"/>
      <c r="M17" s="14">
        <v>3718746.85</v>
      </c>
      <c r="N17" s="14">
        <v>3718746.85</v>
      </c>
      <c r="O17" s="175">
        <v>3393218.79</v>
      </c>
    </row>
    <row r="18" spans="1:15" ht="12.75">
      <c r="A18" s="376" t="s">
        <v>181</v>
      </c>
      <c r="B18" s="310"/>
      <c r="C18" s="310"/>
      <c r="D18" s="310"/>
      <c r="E18" s="310"/>
      <c r="F18" s="311"/>
      <c r="G18" s="352">
        <f>55391.98+5516.07</f>
        <v>60908.05</v>
      </c>
      <c r="H18" s="353"/>
      <c r="I18" s="65" t="s">
        <v>31</v>
      </c>
      <c r="J18" s="350" t="s">
        <v>34</v>
      </c>
      <c r="K18" s="350"/>
      <c r="L18" s="350"/>
      <c r="M18" s="14">
        <v>2022078.46</v>
      </c>
      <c r="N18" s="237">
        <v>2022078.46</v>
      </c>
      <c r="O18" s="175">
        <v>1905375.34</v>
      </c>
    </row>
    <row r="19" spans="1:15" ht="12.75">
      <c r="A19" s="376" t="s">
        <v>182</v>
      </c>
      <c r="B19" s="310"/>
      <c r="C19" s="310"/>
      <c r="D19" s="310"/>
      <c r="E19" s="310"/>
      <c r="F19" s="311"/>
      <c r="G19" s="352">
        <f>109522.68+12378.71</f>
        <v>121901.38999999998</v>
      </c>
      <c r="H19" s="353"/>
      <c r="I19" s="65" t="s">
        <v>31</v>
      </c>
      <c r="J19" s="52" t="s">
        <v>125</v>
      </c>
      <c r="K19" s="52"/>
      <c r="L19" s="52"/>
      <c r="M19" s="14">
        <f>IF(M17+M18&lt;M25,M25-M17-M18,0)</f>
        <v>0</v>
      </c>
      <c r="N19" s="14">
        <f>IF(N17+N18&lt;N25,N25-N17-N18,0)</f>
        <v>0</v>
      </c>
      <c r="O19" s="17">
        <f>IF(O17+O18&lt;O25,O25-O17-O18,0)</f>
        <v>0</v>
      </c>
    </row>
    <row r="20" spans="1:15" ht="13.5" thickBot="1">
      <c r="A20" s="359" t="s">
        <v>37</v>
      </c>
      <c r="B20" s="360"/>
      <c r="C20" s="360"/>
      <c r="D20" s="360"/>
      <c r="E20" s="360"/>
      <c r="F20" s="360"/>
      <c r="G20" s="352">
        <f>SUM(G6:G19)</f>
        <v>26263970.13</v>
      </c>
      <c r="H20" s="353"/>
      <c r="I20" s="173" t="s">
        <v>22</v>
      </c>
      <c r="J20" s="177" t="s">
        <v>136</v>
      </c>
      <c r="K20" s="177"/>
      <c r="L20" s="177"/>
      <c r="M20" s="156">
        <f>IF(M17+M18&gt;M25,M17+M18-M25,0)</f>
        <v>1180390.3800000008</v>
      </c>
      <c r="N20" s="156">
        <f>IF(N17+N18&gt;N25,N17+N18-N25,0)</f>
        <v>1180390.3800000008</v>
      </c>
      <c r="O20" s="157">
        <f>IF(O17+O18&gt;O25,O17+O18-O25,0)</f>
        <v>738159.2000000002</v>
      </c>
    </row>
    <row r="21" spans="1:15" ht="12.75">
      <c r="A21" s="283" t="s">
        <v>118</v>
      </c>
      <c r="B21" s="289"/>
      <c r="C21" s="8" t="s">
        <v>132</v>
      </c>
      <c r="D21" s="8" t="s">
        <v>133</v>
      </c>
      <c r="E21" s="8" t="s">
        <v>134</v>
      </c>
      <c r="F21" s="199" t="s">
        <v>135</v>
      </c>
      <c r="G21" s="228" t="s">
        <v>124</v>
      </c>
      <c r="H21" s="64" t="s">
        <v>119</v>
      </c>
      <c r="I21" s="173"/>
      <c r="J21" s="350"/>
      <c r="K21" s="350"/>
      <c r="L21" s="350"/>
      <c r="M21" s="163"/>
      <c r="N21" s="163"/>
      <c r="O21" s="178"/>
    </row>
    <row r="22" spans="1:15" ht="12.75">
      <c r="A22" s="376" t="s">
        <v>120</v>
      </c>
      <c r="B22" s="311"/>
      <c r="C22" s="179">
        <v>776115.68</v>
      </c>
      <c r="D22" s="14">
        <v>865716.29</v>
      </c>
      <c r="E22" s="14">
        <v>39811.15</v>
      </c>
      <c r="F22" s="14">
        <f aca="true" t="shared" si="0" ref="F22:F29">C22+D22+E22-G22-H22</f>
        <v>1621588.99</v>
      </c>
      <c r="G22" s="219">
        <v>59490.51</v>
      </c>
      <c r="H22" s="157">
        <v>563.62</v>
      </c>
      <c r="I22" s="173"/>
      <c r="J22" s="350"/>
      <c r="K22" s="350"/>
      <c r="L22" s="350"/>
      <c r="M22" s="163"/>
      <c r="N22" s="163"/>
      <c r="O22" s="178"/>
    </row>
    <row r="23" spans="1:15" ht="13.5" thickBot="1">
      <c r="A23" s="376" t="s">
        <v>121</v>
      </c>
      <c r="B23" s="311"/>
      <c r="C23" s="179">
        <v>418.52</v>
      </c>
      <c r="D23" s="14">
        <f>20687.42</f>
        <v>20687.42</v>
      </c>
      <c r="E23" s="14">
        <v>0</v>
      </c>
      <c r="F23" s="14">
        <f t="shared" si="0"/>
        <v>20992.78</v>
      </c>
      <c r="G23" s="219">
        <v>0</v>
      </c>
      <c r="H23" s="157">
        <v>113.16</v>
      </c>
      <c r="I23" s="171" t="s">
        <v>185</v>
      </c>
      <c r="J23" s="195" t="s">
        <v>39</v>
      </c>
      <c r="K23" s="195"/>
      <c r="L23" s="195"/>
      <c r="M23" s="90">
        <f>SUM(M16:M19)-M20</f>
        <v>7078617.63</v>
      </c>
      <c r="N23" s="90">
        <f>SUM(N16:N19)-N20</f>
        <v>7078617.63</v>
      </c>
      <c r="O23" s="91">
        <f>SUM(O16:O19)-O20</f>
        <v>6897235.159999999</v>
      </c>
    </row>
    <row r="24" spans="1:15" ht="15.75" thickBot="1">
      <c r="A24" s="376" t="s">
        <v>122</v>
      </c>
      <c r="B24" s="311"/>
      <c r="C24" s="179">
        <v>216.78</v>
      </c>
      <c r="D24" s="14">
        <v>505345.5</v>
      </c>
      <c r="E24" s="14">
        <v>15649.79</v>
      </c>
      <c r="F24" s="14">
        <f t="shared" si="0"/>
        <v>521117.55</v>
      </c>
      <c r="G24" s="219">
        <v>0</v>
      </c>
      <c r="H24" s="157">
        <v>94.52</v>
      </c>
      <c r="I24" s="82"/>
      <c r="J24" s="189" t="s">
        <v>41</v>
      </c>
      <c r="K24" s="158"/>
      <c r="L24" s="159"/>
      <c r="M24" s="160">
        <f>M23/G20</f>
        <v>0.2695181876526144</v>
      </c>
      <c r="N24" s="27">
        <f>N23/G20</f>
        <v>0.2695181876526144</v>
      </c>
      <c r="O24" s="28">
        <f>O23/G20</f>
        <v>0.262612054684057</v>
      </c>
    </row>
    <row r="25" spans="1:15" ht="12.75">
      <c r="A25" s="357" t="s">
        <v>187</v>
      </c>
      <c r="B25" s="358"/>
      <c r="C25" s="179">
        <v>31560.67</v>
      </c>
      <c r="D25" s="168">
        <v>164112.77</v>
      </c>
      <c r="E25" s="168">
        <v>0</v>
      </c>
      <c r="F25" s="14">
        <f t="shared" si="0"/>
        <v>110587.46</v>
      </c>
      <c r="G25" s="219">
        <v>20131.49</v>
      </c>
      <c r="H25" s="157">
        <f>5834.48+3534.93+55585.08</f>
        <v>64954.490000000005</v>
      </c>
      <c r="I25" s="382" t="s">
        <v>113</v>
      </c>
      <c r="J25" s="408"/>
      <c r="K25" s="408"/>
      <c r="L25" s="409"/>
      <c r="M25" s="161">
        <v>4560434.93</v>
      </c>
      <c r="N25" s="161">
        <f>M25</f>
        <v>4560434.93</v>
      </c>
      <c r="O25" s="166">
        <f>M25</f>
        <v>4560434.93</v>
      </c>
    </row>
    <row r="26" spans="1:15" ht="13.5" thickBot="1">
      <c r="A26" s="357" t="s">
        <v>188</v>
      </c>
      <c r="B26" s="358"/>
      <c r="C26" s="179">
        <v>274938.8</v>
      </c>
      <c r="D26" s="168">
        <v>326339.13</v>
      </c>
      <c r="E26" s="168">
        <v>0</v>
      </c>
      <c r="F26" s="14">
        <f t="shared" si="0"/>
        <v>588397.5299999999</v>
      </c>
      <c r="G26" s="219">
        <v>0</v>
      </c>
      <c r="H26" s="157">
        <f>12880.4</f>
        <v>12880.4</v>
      </c>
      <c r="I26" s="348"/>
      <c r="J26" s="348"/>
      <c r="K26" s="348"/>
      <c r="L26" s="348"/>
      <c r="M26" s="84"/>
      <c r="N26" s="84"/>
      <c r="O26" s="203"/>
    </row>
    <row r="27" spans="1:15" ht="13.5" thickBot="1">
      <c r="A27" s="357" t="s">
        <v>154</v>
      </c>
      <c r="B27" s="358"/>
      <c r="C27" s="179">
        <v>63921.31</v>
      </c>
      <c r="D27" s="168">
        <v>25379.72</v>
      </c>
      <c r="E27" s="168">
        <v>0</v>
      </c>
      <c r="F27" s="14">
        <f t="shared" si="0"/>
        <v>21547.699999999997</v>
      </c>
      <c r="G27" s="218">
        <f>1850.99+35422.22</f>
        <v>37273.21</v>
      </c>
      <c r="H27" s="157">
        <f>4610.83+25869.29</f>
        <v>30480.120000000003</v>
      </c>
      <c r="I27" s="395" t="s">
        <v>114</v>
      </c>
      <c r="J27" s="396"/>
      <c r="K27" s="396"/>
      <c r="L27" s="397"/>
      <c r="M27" s="181"/>
      <c r="N27" s="182"/>
      <c r="O27" s="183"/>
    </row>
    <row r="28" spans="1:15" ht="12.75">
      <c r="A28" s="357" t="s">
        <v>177</v>
      </c>
      <c r="B28" s="358"/>
      <c r="C28" s="179">
        <v>240.16</v>
      </c>
      <c r="D28" s="168">
        <v>184360</v>
      </c>
      <c r="E28" s="168">
        <v>0</v>
      </c>
      <c r="F28" s="14">
        <f t="shared" si="0"/>
        <v>184260.21</v>
      </c>
      <c r="G28" s="219">
        <v>0</v>
      </c>
      <c r="H28" s="157">
        <v>339.95</v>
      </c>
      <c r="I28" s="226"/>
      <c r="J28" s="169" t="s">
        <v>128</v>
      </c>
      <c r="K28" s="169"/>
      <c r="L28" s="169"/>
      <c r="M28" s="185">
        <f>(M17+M18)/(G32+G33)</f>
        <v>0.9756223855113972</v>
      </c>
      <c r="N28" s="34">
        <f>(N17+N18)/(G32+G33)</f>
        <v>0.9756223855113972</v>
      </c>
      <c r="O28" s="35">
        <f>(O17+O18)/(G32+G33)</f>
        <v>0.900467574925614</v>
      </c>
    </row>
    <row r="29" spans="1:15" ht="12.75">
      <c r="A29" s="454" t="s">
        <v>176</v>
      </c>
      <c r="B29" s="314"/>
      <c r="C29" s="179">
        <v>117.67</v>
      </c>
      <c r="D29" s="168">
        <f>137028+45516+5160+50720+24414+790+47400</f>
        <v>311028</v>
      </c>
      <c r="E29" s="168">
        <v>0</v>
      </c>
      <c r="F29" s="14">
        <f t="shared" si="0"/>
        <v>234622.18</v>
      </c>
      <c r="G29" s="219">
        <v>28743.1</v>
      </c>
      <c r="H29" s="157">
        <f>47780.39</f>
        <v>47780.39</v>
      </c>
      <c r="I29" s="227"/>
      <c r="J29" s="402" t="s">
        <v>127</v>
      </c>
      <c r="K29" s="298"/>
      <c r="L29" s="299"/>
      <c r="M29" s="186">
        <f>(M17)/(G32+G33)</f>
        <v>0.6319810265938912</v>
      </c>
      <c r="N29" s="101">
        <f>(N17)/(G32+G33)</f>
        <v>0.6319810265938912</v>
      </c>
      <c r="O29" s="164">
        <f>(O17)/(G32+G33)</f>
        <v>0.576659283586857</v>
      </c>
    </row>
    <row r="30" spans="1:15" ht="12.75">
      <c r="A30" s="454"/>
      <c r="B30" s="314"/>
      <c r="C30" s="179"/>
      <c r="D30" s="168"/>
      <c r="E30" s="168"/>
      <c r="F30" s="14"/>
      <c r="G30" s="219"/>
      <c r="H30" s="157"/>
      <c r="I30" s="224"/>
      <c r="J30" s="402" t="s">
        <v>170</v>
      </c>
      <c r="K30" s="298"/>
      <c r="L30" s="299"/>
      <c r="M30" s="162">
        <f>M28-M29</f>
        <v>0.343641358917506</v>
      </c>
      <c r="N30" s="162">
        <f>N28-N29</f>
        <v>0.343641358917506</v>
      </c>
      <c r="O30" s="167">
        <f>O28-O29</f>
        <v>0.323808291338757</v>
      </c>
    </row>
    <row r="31" spans="1:15" ht="13.5" thickBot="1">
      <c r="A31" s="411" t="s">
        <v>0</v>
      </c>
      <c r="B31" s="412"/>
      <c r="C31" s="184">
        <f aca="true" t="shared" si="1" ref="C31:H31">SUM(C22:C30)</f>
        <v>1147529.59</v>
      </c>
      <c r="D31" s="184">
        <f t="shared" si="1"/>
        <v>2402968.83</v>
      </c>
      <c r="E31" s="184">
        <f t="shared" si="1"/>
        <v>55460.94</v>
      </c>
      <c r="F31" s="184">
        <f t="shared" si="1"/>
        <v>3303114.4</v>
      </c>
      <c r="G31" s="229">
        <f t="shared" si="1"/>
        <v>145638.31</v>
      </c>
      <c r="H31" s="59">
        <f t="shared" si="1"/>
        <v>157206.65</v>
      </c>
      <c r="I31" s="234"/>
      <c r="J31" s="464"/>
      <c r="K31" s="291"/>
      <c r="L31" s="292"/>
      <c r="M31" s="101"/>
      <c r="N31" s="101"/>
      <c r="O31" s="164"/>
    </row>
    <row r="32" spans="1:15" ht="12.75">
      <c r="A32" s="283" t="s">
        <v>123</v>
      </c>
      <c r="B32" s="288"/>
      <c r="C32" s="288"/>
      <c r="D32" s="288"/>
      <c r="E32" s="288"/>
      <c r="F32" s="289"/>
      <c r="G32" s="473">
        <v>5819791.31</v>
      </c>
      <c r="H32" s="474"/>
      <c r="I32" s="363"/>
      <c r="J32" s="364"/>
      <c r="K32" s="364"/>
      <c r="L32" s="364"/>
      <c r="M32" s="231"/>
      <c r="N32" s="34"/>
      <c r="O32" s="35"/>
    </row>
    <row r="33" spans="1:15" ht="12.75">
      <c r="A33" s="319" t="s">
        <v>47</v>
      </c>
      <c r="B33" s="320"/>
      <c r="C33" s="320"/>
      <c r="D33" s="320"/>
      <c r="E33" s="320"/>
      <c r="F33" s="321"/>
      <c r="G33" s="492">
        <v>64478.46</v>
      </c>
      <c r="H33" s="493"/>
      <c r="I33" s="359"/>
      <c r="J33" s="360"/>
      <c r="K33" s="360"/>
      <c r="L33" s="360"/>
      <c r="M33" s="230"/>
      <c r="N33" s="174"/>
      <c r="O33" s="175"/>
    </row>
    <row r="34" spans="1:15" ht="13.5" thickBot="1">
      <c r="A34" s="290" t="s">
        <v>116</v>
      </c>
      <c r="B34" s="291"/>
      <c r="C34" s="291"/>
      <c r="D34" s="291"/>
      <c r="E34" s="291"/>
      <c r="F34" s="292"/>
      <c r="G34" s="477">
        <v>0</v>
      </c>
      <c r="H34" s="478"/>
      <c r="I34" s="359"/>
      <c r="J34" s="360"/>
      <c r="K34" s="360"/>
      <c r="L34" s="360"/>
      <c r="M34" s="162"/>
      <c r="N34" s="174"/>
      <c r="O34" s="175"/>
    </row>
    <row r="35" spans="1:15" ht="14.25" customHeight="1">
      <c r="A35" s="470" t="s">
        <v>151</v>
      </c>
      <c r="B35" s="471"/>
      <c r="C35" s="471"/>
      <c r="D35" s="471"/>
      <c r="E35" s="471"/>
      <c r="F35" s="472"/>
      <c r="G35" s="473">
        <v>244818.64</v>
      </c>
      <c r="H35" s="474"/>
      <c r="I35" s="410"/>
      <c r="J35" s="362"/>
      <c r="K35" s="362"/>
      <c r="L35" s="362"/>
      <c r="M35" s="54"/>
      <c r="N35" s="54"/>
      <c r="O35" s="192"/>
    </row>
    <row r="36" spans="1:15" ht="12.75">
      <c r="A36" s="326" t="s">
        <v>152</v>
      </c>
      <c r="B36" s="327"/>
      <c r="C36" s="327"/>
      <c r="D36" s="327"/>
      <c r="E36" s="327"/>
      <c r="F36" s="328"/>
      <c r="G36" s="460">
        <v>0</v>
      </c>
      <c r="H36" s="461"/>
      <c r="I36" s="462"/>
      <c r="J36" s="463"/>
      <c r="K36" s="463"/>
      <c r="L36" s="463"/>
      <c r="M36" s="54"/>
      <c r="N36" s="54"/>
      <c r="O36" s="192"/>
    </row>
    <row r="37" spans="1:15" ht="12.75">
      <c r="A37" s="475" t="s">
        <v>183</v>
      </c>
      <c r="B37" s="476"/>
      <c r="C37" s="476"/>
      <c r="D37" s="476"/>
      <c r="E37" s="476"/>
      <c r="F37" s="476"/>
      <c r="G37" s="469">
        <v>244818.64</v>
      </c>
      <c r="H37" s="460"/>
      <c r="I37" s="454"/>
      <c r="J37" s="313"/>
      <c r="K37" s="313"/>
      <c r="L37" s="314"/>
      <c r="M37" s="232"/>
      <c r="N37" s="232"/>
      <c r="O37" s="233"/>
    </row>
    <row r="38" spans="1:15" ht="13.5" thickBot="1">
      <c r="A38" s="456" t="s">
        <v>184</v>
      </c>
      <c r="B38" s="457"/>
      <c r="C38" s="457"/>
      <c r="D38" s="457"/>
      <c r="E38" s="457"/>
      <c r="F38" s="457"/>
      <c r="G38" s="458">
        <f>IF(G35-G36&lt;&gt;G37,G35-G36-G37,0)</f>
        <v>0</v>
      </c>
      <c r="H38" s="459"/>
      <c r="I38" s="440" t="s">
        <v>137</v>
      </c>
      <c r="J38" s="441"/>
      <c r="K38" s="441"/>
      <c r="L38" s="441"/>
      <c r="M38" s="193">
        <f>(($G$6+$G$7+$G$8+$G$9+$G$16+$G$17+$G$18)*25%)+($G$10+$G$11+$G$12+$G$13+$G$14+$G$15)*5%</f>
        <v>1839267.655</v>
      </c>
      <c r="N38" s="193">
        <f>(($G$6+$G$7+$G$8+$G$9+$G$16+$G$17+$G$18)*25%)+($G$10+$G$11+$G$12+$G$13+$G$14+$G$15)*5%</f>
        <v>1839267.655</v>
      </c>
      <c r="O38" s="193">
        <f>(($G$6+$G$7+$G$8+$G$9+$G$16+$G$17+$G$18)*25%)+($G$10+$G$11+$G$12+$G$13+$G$14+$G$15)*5%</f>
        <v>1839267.655</v>
      </c>
    </row>
    <row r="39" spans="1:15" ht="12.75">
      <c r="A39" s="455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439"/>
    </row>
    <row r="40" spans="1:15" ht="12.75">
      <c r="A40" s="392" t="s">
        <v>190</v>
      </c>
      <c r="B40" s="389"/>
      <c r="C40" s="389"/>
      <c r="D40" s="389"/>
      <c r="E40" s="339" t="s">
        <v>191</v>
      </c>
      <c r="F40" s="391"/>
      <c r="G40" s="391"/>
      <c r="H40" s="391"/>
      <c r="I40" s="391"/>
      <c r="J40" s="348"/>
      <c r="K40" s="389" t="s">
        <v>189</v>
      </c>
      <c r="L40" s="389"/>
      <c r="M40" s="84"/>
      <c r="N40" s="389" t="s">
        <v>167</v>
      </c>
      <c r="O40" s="390"/>
    </row>
    <row r="41" spans="1:15" ht="13.5" thickBot="1">
      <c r="A41" s="208" t="s">
        <v>169</v>
      </c>
      <c r="B41" s="209"/>
      <c r="C41" s="209"/>
      <c r="D41" s="209"/>
      <c r="E41" s="209"/>
      <c r="F41" s="222" t="s">
        <v>53</v>
      </c>
      <c r="G41" s="209"/>
      <c r="H41" s="209"/>
      <c r="I41" s="209"/>
      <c r="J41" s="209"/>
      <c r="K41" s="222" t="s">
        <v>166</v>
      </c>
      <c r="L41" s="209"/>
      <c r="M41" s="209"/>
      <c r="N41" s="223" t="s">
        <v>168</v>
      </c>
      <c r="O41" s="211"/>
    </row>
    <row r="44" ht="12.75">
      <c r="G44" s="142"/>
    </row>
    <row r="45" ht="12.75">
      <c r="G45" s="142"/>
    </row>
    <row r="46" ht="12.75">
      <c r="G46" s="142"/>
    </row>
  </sheetData>
  <sheetProtection/>
  <mergeCells count="97">
    <mergeCell ref="J22:L22"/>
    <mergeCell ref="A27:B27"/>
    <mergeCell ref="I27:L27"/>
    <mergeCell ref="I32:L32"/>
    <mergeCell ref="I25:L25"/>
    <mergeCell ref="A4:O4"/>
    <mergeCell ref="A5:F5"/>
    <mergeCell ref="G5:H5"/>
    <mergeCell ref="I5:L5"/>
    <mergeCell ref="A1:O1"/>
    <mergeCell ref="A2:O2"/>
    <mergeCell ref="A3:B3"/>
    <mergeCell ref="C3:I3"/>
    <mergeCell ref="A6:F6"/>
    <mergeCell ref="G6:H6"/>
    <mergeCell ref="I6:L6"/>
    <mergeCell ref="A7:F7"/>
    <mergeCell ref="G7:H7"/>
    <mergeCell ref="I7:L7"/>
    <mergeCell ref="A8:F8"/>
    <mergeCell ref="G8:H8"/>
    <mergeCell ref="I8:L8"/>
    <mergeCell ref="A9:F9"/>
    <mergeCell ref="G9:H9"/>
    <mergeCell ref="I9:L9"/>
    <mergeCell ref="A10:F10"/>
    <mergeCell ref="G10:H10"/>
    <mergeCell ref="I10:L10"/>
    <mergeCell ref="A11:F11"/>
    <mergeCell ref="G11:H11"/>
    <mergeCell ref="J11:L11"/>
    <mergeCell ref="A12:F12"/>
    <mergeCell ref="G12:H12"/>
    <mergeCell ref="J12:L12"/>
    <mergeCell ref="A13:F13"/>
    <mergeCell ref="G13:H13"/>
    <mergeCell ref="J13:L13"/>
    <mergeCell ref="A14:F14"/>
    <mergeCell ref="G14:H14"/>
    <mergeCell ref="J14:L14"/>
    <mergeCell ref="A15:F15"/>
    <mergeCell ref="G15:H15"/>
    <mergeCell ref="J15:L15"/>
    <mergeCell ref="G16:H16"/>
    <mergeCell ref="A17:F17"/>
    <mergeCell ref="G17:H17"/>
    <mergeCell ref="J17:L17"/>
    <mergeCell ref="A18:F18"/>
    <mergeCell ref="G18:H18"/>
    <mergeCell ref="J18:L18"/>
    <mergeCell ref="A23:B23"/>
    <mergeCell ref="A24:B24"/>
    <mergeCell ref="A25:B25"/>
    <mergeCell ref="A21:B21"/>
    <mergeCell ref="A16:F16"/>
    <mergeCell ref="A30:B30"/>
    <mergeCell ref="A19:F19"/>
    <mergeCell ref="A22:B22"/>
    <mergeCell ref="A26:B26"/>
    <mergeCell ref="I26:L26"/>
    <mergeCell ref="I33:L33"/>
    <mergeCell ref="A34:F34"/>
    <mergeCell ref="G34:H34"/>
    <mergeCell ref="A31:B31"/>
    <mergeCell ref="A33:F33"/>
    <mergeCell ref="G33:H33"/>
    <mergeCell ref="A32:F32"/>
    <mergeCell ref="G32:H32"/>
    <mergeCell ref="J30:L30"/>
    <mergeCell ref="G37:H37"/>
    <mergeCell ref="A35:F35"/>
    <mergeCell ref="G35:H35"/>
    <mergeCell ref="I35:L35"/>
    <mergeCell ref="G19:H19"/>
    <mergeCell ref="A20:F20"/>
    <mergeCell ref="G20:H20"/>
    <mergeCell ref="J21:L21"/>
    <mergeCell ref="A37:F37"/>
    <mergeCell ref="A36:F36"/>
    <mergeCell ref="G36:H36"/>
    <mergeCell ref="I36:L36"/>
    <mergeCell ref="J31:L31"/>
    <mergeCell ref="M3:N3"/>
    <mergeCell ref="K3:L3"/>
    <mergeCell ref="I34:L34"/>
    <mergeCell ref="A28:B28"/>
    <mergeCell ref="A29:B29"/>
    <mergeCell ref="J29:L29"/>
    <mergeCell ref="I37:L37"/>
    <mergeCell ref="A39:O39"/>
    <mergeCell ref="A40:D40"/>
    <mergeCell ref="E40:J40"/>
    <mergeCell ref="K40:L40"/>
    <mergeCell ref="N40:O40"/>
    <mergeCell ref="A38:F38"/>
    <mergeCell ref="G38:H38"/>
    <mergeCell ref="I38:L3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Usuário do Windows</cp:lastModifiedBy>
  <cp:lastPrinted>2015-07-16T18:00:15Z</cp:lastPrinted>
  <dcterms:created xsi:type="dcterms:W3CDTF">1997-01-10T22:22:50Z</dcterms:created>
  <dcterms:modified xsi:type="dcterms:W3CDTF">2017-01-26T10:12:41Z</dcterms:modified>
  <cp:category/>
  <cp:version/>
  <cp:contentType/>
  <cp:contentStatus/>
</cp:coreProperties>
</file>