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<sst xmlns="http://schemas.openxmlformats.org/spreadsheetml/2006/main" count="1497" uniqueCount="1094">
  <si>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</si>
  <si>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</si>
  <si>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</si>
  <si>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</si>
  <si>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</si>
  <si>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</si>
  <si>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</si>
  <si>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</si>
  <si>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</si>
  <si>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</si>
  <si>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</si>
  <si>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</si>
  <si>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</si>
  <si>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</si>
  <si>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</si>
  <si>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</si>
  <si>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</si>
  <si>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</si>
  <si>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</si>
  <si>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</si>
  <si>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</si>
  <si>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</si>
  <si>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</si>
  <si>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</si>
  <si>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</si>
  <si>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</si>
  <si>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</si>
  <si>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</si>
  <si>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</si>
  <si>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</si>
  <si>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</si>
  <si>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</si>
  <si>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</si>
  <si>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</si>
  <si>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</si>
  <si>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</si>
  <si>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</si>
  <si>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</si>
  <si>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</si>
  <si>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</si>
  <si>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</si>
  <si>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</si>
  <si>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</si>
  <si>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</si>
  <si>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</si>
  <si>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</si>
  <si>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</si>
  <si>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</si>
  <si>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</si>
  <si>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</si>
  <si>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</si>
  <si>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</si>
  <si>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</si>
  <si>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</si>
  <si>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</si>
  <si>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</si>
  <si>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</si>
  <si>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</si>
  <si>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</si>
  <si>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</si>
  <si>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</si>
  <si>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</si>
  <si>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</si>
  <si>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</si>
  <si>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</si>
  <si>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</si>
  <si>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</si>
  <si>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</si>
  <si>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</si>
  <si>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</si>
  <si>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</si>
  <si>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</si>
  <si>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</si>
  <si>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</si>
  <si>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</si>
  <si>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</si>
  <si>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</si>
  <si>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</si>
  <si>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</si>
  <si>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</si>
  <si>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</si>
  <si>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</si>
  <si>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</si>
  <si>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</si>
  <si>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</si>
  <si>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</si>
  <si>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</si>
  <si>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</si>
  <si>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</si>
  <si>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</si>
  <si>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</si>
  <si>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</si>
  <si>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</si>
  <si>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</si>
  <si>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</si>
  <si>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</si>
  <si>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</si>
  <si>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</si>
  <si>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</si>
  <si>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</si>
  <si>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</si>
  <si>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</si>
  <si>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</si>
  <si>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</si>
  <si>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</si>
  <si>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</si>
  <si>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</si>
  <si>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</si>
  <si>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</si>
  <si>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</si>
  <si>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</si>
  <si>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</si>
  <si>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</si>
  <si>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</si>
  <si>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</si>
  <si>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</si>
  <si>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</si>
  <si>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</si>
  <si>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</si>
  <si>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</si>
  <si>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</si>
  <si>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</si>
  <si>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</si>
  <si>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</si>
  <si>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</si>
  <si>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</si>
  <si>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</si>
  <si>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</si>
  <si>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</si>
  <si>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</si>
  <si>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</si>
  <si>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</si>
  <si>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</si>
  <si>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</si>
  <si>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</si>
  <si>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</si>
  <si>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</si>
  <si>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</si>
  <si>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</si>
  <si>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</si>
  <si>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</si>
  <si>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</si>
  <si>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</si>
  <si>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</si>
  <si>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</si>
  <si>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</si>
  <si>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</si>
  <si>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</si>
  <si>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</si>
  <si>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</si>
  <si>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</si>
  <si>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</si>
  <si>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</si>
  <si>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</si>
  <si>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</si>
  <si>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</si>
  <si>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</si>
  <si>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</si>
  <si>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</si>
  <si>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</si>
  <si>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</si>
  <si>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</si>
  <si>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</si>
  <si>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</si>
  <si>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</si>
  <si>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</si>
  <si>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</si>
  <si>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</si>
  <si>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</si>
  <si>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</si>
  <si>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</si>
  <si>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</si>
  <si>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</si>
  <si>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</si>
  <si>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</si>
  <si>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</si>
  <si>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</si>
  <si>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</si>
  <si>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</si>
  <si>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</si>
  <si>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</si>
  <si>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</si>
  <si>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</si>
  <si>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</si>
  <si>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</si>
  <si>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</si>
  <si>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</si>
  <si>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</si>
  <si>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</si>
  <si>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</si>
  <si>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</si>
  <si>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</si>
  <si>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</si>
  <si>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</si>
  <si>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</si>
  <si>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</si>
  <si>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</si>
  <si>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</si>
  <si>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</si>
  <si>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</si>
  <si>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</si>
  <si>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</si>
  <si>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</si>
  <si>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</si>
  <si>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</si>
  <si>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</si>
  <si>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</si>
  <si>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</si>
  <si>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</si>
  <si>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</si>
  <si>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</si>
  <si>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</si>
  <si>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</si>
  <si>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</si>
  <si>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</si>
  <si>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</si>
  <si>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</si>
  <si>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</si>
  <si>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</si>
  <si>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</si>
  <si>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</si>
  <si>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</si>
  <si>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</si>
  <si>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</si>
  <si>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</si>
  <si>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</si>
  <si>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</si>
  <si>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</si>
  <si>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</si>
  <si>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</si>
  <si>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</si>
  <si>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</si>
  <si>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</si>
  <si>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</si>
  <si>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</si>
  <si>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</si>
  <si>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</si>
  <si>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</si>
  <si>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</si>
  <si>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</si>
  <si>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</si>
  <si>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</si>
  <si>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</si>
  <si>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</si>
  <si>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</si>
  <si>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</si>
  <si>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</si>
  <si>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</si>
  <si>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</si>
  <si>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</si>
  <si>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</si>
  <si>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</si>
  <si>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</si>
  <si>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</si>
  <si>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</si>
  <si>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</si>
  <si>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</si>
  <si>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</si>
  <si>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</si>
  <si>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</si>
  <si>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</si>
  <si>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</si>
  <si>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</si>
  <si>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</si>
  <si>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</si>
  <si>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</si>
  <si>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</si>
  <si>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</si>
  <si>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</si>
  <si>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</si>
  <si>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</si>
  <si>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</si>
  <si>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</si>
  <si>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</si>
  <si>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</si>
  <si>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</si>
  <si>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</si>
  <si>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</si>
  <si>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</si>
  <si>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</si>
  <si>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</si>
  <si>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</si>
  <si>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</si>
  <si>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</si>
  <si>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</si>
  <si>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</si>
  <si>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</si>
  <si>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</si>
  <si>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</si>
  <si>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</si>
  <si>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</si>
  <si>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</si>
  <si>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</si>
  <si>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</si>
  <si>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</si>
  <si>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</si>
  <si>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</si>
  <si>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</si>
  <si>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</si>
  <si>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</si>
  <si>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</si>
  <si>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</si>
  <si>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</si>
  <si>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</si>
  <si>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</si>
  <si>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</si>
  <si>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</si>
  <si>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</si>
  <si>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</si>
  <si>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</si>
  <si>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</si>
  <si>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</si>
  <si>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</si>
  <si>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</si>
  <si>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</si>
  <si>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</si>
  <si>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</si>
  <si>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</si>
  <si>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</si>
  <si>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</si>
  <si>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</si>
  <si>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</si>
  <si>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</si>
  <si>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</si>
  <si>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</si>
  <si>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</si>
  <si>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</si>
  <si>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</si>
  <si>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</si>
  <si>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</si>
  <si>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</si>
  <si>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</si>
  <si>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</si>
  <si>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</si>
  <si>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</si>
  <si>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</si>
  <si>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</si>
  <si>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</si>
  <si>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</si>
  <si>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</si>
  <si>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</si>
  <si>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</si>
  <si>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</si>
  <si>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</si>
  <si>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</si>
  <si>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</si>
  <si>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</si>
  <si>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</si>
  <si>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</si>
  <si>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</si>
  <si>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</si>
  <si>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</si>
  <si>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</si>
  <si>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</si>
  <si>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</si>
  <si>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</si>
  <si>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</si>
  <si>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</si>
  <si>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</si>
  <si>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</si>
  <si>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</si>
  <si>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</si>
  <si>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</si>
  <si>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</si>
  <si>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</si>
  <si>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</si>
  <si>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</si>
  <si>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</si>
  <si>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</si>
  <si>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</si>
  <si>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</si>
  <si>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</si>
  <si>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</si>
  <si>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</si>
  <si>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</si>
  <si>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</si>
  <si>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</si>
  <si>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</si>
  <si>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</si>
  <si>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</si>
  <si>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</si>
  <si>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</si>
  <si>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</si>
  <si>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</si>
  <si>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</si>
  <si>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</si>
  <si>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</si>
  <si>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</si>
  <si>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</si>
  <si>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</si>
  <si>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</si>
  <si>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</si>
  <si>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</si>
  <si>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</si>
  <si>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</si>
  <si>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</si>
  <si>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</si>
  <si>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</si>
  <si>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</si>
  <si>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</si>
  <si>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</si>
  <si>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</si>
  <si>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</si>
  <si>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</si>
  <si>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</si>
  <si>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</si>
  <si>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</si>
  <si>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</si>
  <si>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</si>
  <si>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</si>
  <si>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</si>
  <si>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</si>
  <si>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</si>
  <si>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</si>
  <si>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</si>
  <si>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</si>
  <si>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</si>
  <si>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</si>
  <si>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</si>
  <si>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</si>
  <si>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</si>
  <si>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</si>
  <si>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</si>
  <si>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</si>
  <si>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</si>
  <si>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</si>
  <si>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</si>
  <si>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</si>
  <si>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</si>
  <si>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</si>
  <si>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</si>
  <si>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</si>
  <si>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</si>
  <si>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</si>
  <si>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</si>
  <si>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</si>
  <si>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</si>
  <si>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</si>
  <si>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</si>
  <si>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</si>
  <si>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</si>
  <si>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</si>
  <si>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</si>
  <si>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</si>
  <si>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</si>
  <si>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</si>
  <si>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</si>
  <si>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</si>
  <si>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</si>
  <si>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</si>
  <si>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</si>
  <si>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</si>
  <si>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</si>
  <si>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</si>
  <si>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</si>
  <si>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</si>
  <si>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</si>
  <si>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</si>
  <si>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</si>
  <si>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</si>
  <si>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</si>
  <si>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</si>
  <si>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</si>
  <si>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</si>
  <si>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</si>
  <si>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</si>
  <si>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</si>
  <si>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</si>
  <si>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</si>
  <si>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</si>
  <si>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</si>
  <si>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</si>
  <si>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</si>
  <si>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</si>
  <si>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</si>
  <si>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</si>
  <si>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</si>
  <si>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</si>
  <si>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</si>
  <si>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</si>
  <si>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</si>
  <si>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</si>
  <si>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</si>
  <si>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</si>
  <si>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</si>
  <si>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</si>
  <si>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</si>
  <si>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</si>
  <si>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</si>
  <si>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</si>
  <si>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</si>
  <si>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</si>
  <si>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</si>
  <si>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</si>
  <si>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</si>
  <si>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</si>
  <si>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</si>
  <si>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</si>
  <si>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</si>
  <si>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</si>
  <si>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</si>
  <si>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</si>
  <si>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</si>
  <si>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</si>
  <si>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</si>
  <si>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</si>
  <si>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</si>
  <si>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</si>
  <si>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</si>
  <si>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</si>
  <si>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</si>
  <si>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</si>
  <si>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</si>
  <si>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</si>
  <si>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</si>
  <si>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</si>
  <si>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</si>
  <si>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</si>
  <si>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</si>
  <si>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</si>
  <si>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</si>
  <si>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</si>
  <si>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</si>
  <si>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</si>
  <si>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</si>
  <si>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</si>
  <si>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</si>
  <si>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</si>
  <si>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</si>
  <si>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</si>
  <si>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</si>
  <si>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</si>
  <si>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</si>
  <si>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</si>
  <si>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</si>
  <si>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</si>
  <si>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</si>
  <si>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</si>
  <si>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</si>
  <si>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</si>
  <si>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</si>
  <si>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</si>
  <si>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</si>
  <si>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</si>
  <si>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</si>
  <si>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</si>
  <si>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</si>
  <si>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</si>
  <si>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</si>
  <si>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</si>
  <si>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</si>
  <si>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</si>
  <si>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</si>
  <si>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</si>
  <si>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</si>
  <si>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</si>
  <si>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</si>
  <si>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</si>
  <si>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</si>
  <si>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</si>
  <si>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</si>
  <si>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</si>
  <si>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</si>
  <si>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</si>
  <si>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</si>
  <si>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</si>
  <si>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</si>
  <si>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</si>
  <si>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</si>
  <si>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</si>
  <si>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</si>
  <si>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</si>
  <si>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</si>
  <si>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</si>
  <si>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</si>
  <si>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</si>
  <si>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</si>
  <si>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</si>
  <si>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</si>
  <si>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</si>
  <si>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</si>
  <si>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</si>
  <si>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</si>
  <si>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</si>
  <si>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</si>
  <si>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</si>
  <si>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</si>
  <si>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</si>
  <si>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</si>
  <si>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</si>
  <si>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</si>
  <si>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</si>
  <si>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</si>
  <si>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</si>
  <si>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</si>
  <si>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</si>
  <si>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</si>
  <si>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</si>
  <si>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</si>
  <si>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</si>
  <si>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</si>
  <si>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</si>
  <si>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</si>
  <si>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</si>
  <si>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</si>
  <si>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</si>
  <si>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</si>
  <si>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</si>
  <si>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</si>
  <si>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</si>
  <si>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</si>
  <si>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</si>
  <si>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</si>
  <si>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</si>
  <si>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</si>
  <si>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</si>
  <si>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</si>
  <si>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</si>
  <si>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</si>
  <si>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</si>
  <si>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</si>
  <si>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</si>
  <si>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</si>
  <si>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</si>
  <si>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</si>
  <si>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</si>
  <si>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</si>
  <si>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</si>
  <si>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</si>
  <si>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</si>
  <si>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</si>
  <si>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</si>
  <si>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</si>
  <si>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</si>
  <si>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</si>
  <si>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</si>
  <si>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</si>
  <si>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</si>
  <si>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</si>
  <si>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</si>
  <si>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</si>
  <si>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</si>
  <si>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</si>
  <si>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</si>
  <si>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</si>
  <si>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</si>
  <si>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</si>
  <si>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</si>
  <si>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</si>
  <si>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</si>
  <si>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</si>
  <si>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</si>
  <si>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</si>
  <si>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</si>
  <si>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</si>
  <si>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</si>
  <si>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</si>
  <si>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</si>
  <si>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</si>
  <si>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</si>
  <si>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</si>
  <si>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</si>
  <si>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</si>
  <si>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</si>
  <si>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</si>
  <si>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</si>
  <si>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</si>
  <si>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</si>
  <si>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</si>
  <si>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</si>
  <si>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</si>
  <si>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</si>
  <si>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</si>
  <si>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</si>
  <si>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</si>
  <si>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</si>
  <si>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</si>
  <si>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</si>
  <si>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</si>
  <si>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</si>
  <si>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</si>
  <si>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</si>
  <si>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</si>
  <si>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</si>
  <si>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</si>
  <si>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</si>
  <si>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</si>
  <si>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</si>
  <si>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</si>
  <si>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</si>
  <si>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</si>
  <si>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</si>
  <si>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</si>
  <si>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</si>
  <si>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</si>
  <si>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</si>
  <si>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</si>
  <si>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</si>
  <si>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</si>
  <si>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</si>
  <si>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</si>
  <si>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</si>
  <si>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</si>
  <si>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</si>
  <si>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</si>
  <si>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</si>
  <si>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</si>
  <si>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</si>
  <si>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</si>
  <si>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</si>
  <si>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</si>
  <si>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</si>
  <si>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</si>
  <si>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</si>
  <si>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</si>
  <si>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</si>
  <si>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</si>
  <si>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</si>
  <si>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</si>
  <si>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</si>
  <si>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</si>
  <si>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</si>
  <si>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</si>
  <si>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</si>
  <si>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</si>
  <si>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</si>
  <si>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</si>
  <si>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</si>
  <si>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</si>
  <si>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</si>
  <si>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</si>
  <si>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</si>
  <si>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</si>
  <si>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</si>
  <si>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</si>
  <si>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</si>
  <si>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</si>
  <si>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</si>
  <si>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</si>
  <si>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</si>
  <si>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</si>
  <si>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</si>
  <si>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</si>
  <si>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</si>
  <si>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</si>
  <si>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</si>
  <si>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</si>
  <si>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</si>
  <si>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</si>
  <si>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</si>
  <si>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</si>
  <si>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</si>
  <si>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</si>
  <si>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</si>
  <si>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</si>
  <si>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</si>
  <si>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</si>
  <si>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</si>
  <si>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</si>
  <si>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</si>
  <si>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</si>
  <si>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</si>
  <si>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</si>
  <si>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</si>
  <si>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</si>
  <si>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</si>
  <si>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</si>
  <si>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</si>
  <si>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</si>
  <si>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</si>
  <si>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</si>
  <si>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</si>
  <si>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</si>
  <si>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</si>
  <si>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</si>
  <si>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</si>
  <si>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</si>
  <si>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</si>
  <si>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</si>
  <si>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</si>
  <si>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</si>
  <si>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</si>
  <si>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</si>
  <si>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</si>
  <si>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</si>
  <si>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</si>
  <si>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</si>
  <si>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</si>
  <si>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</si>
  <si>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</si>
  <si>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</si>
  <si>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</si>
  <si>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</si>
  <si>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</si>
  <si>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</si>
  <si>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</si>
  <si>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</si>
  <si>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</si>
  <si>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</si>
  <si>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</si>
  <si>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</si>
  <si>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</si>
  <si>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</si>
  <si>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</si>
  <si>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</si>
  <si>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</si>
  <si>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</si>
  <si>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</si>
  <si>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</si>
  <si>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</si>
  <si>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</si>
  <si>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</si>
  <si>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</si>
  <si>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</si>
  <si>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</si>
  <si>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</si>
  <si>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</si>
  <si>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</si>
  <si>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</si>
  <si>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</si>
  <si>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</si>
  <si>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</si>
  <si>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</si>
  <si>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</si>
  <si>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</si>
  <si>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</si>
  <si>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</si>
  <si>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</si>
  <si>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</si>
  <si>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</si>
  <si>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</si>
  <si>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</si>
  <si>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</si>
  <si>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</si>
  <si>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</si>
  <si>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</si>
  <si>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</si>
  <si>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</si>
  <si>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</si>
  <si>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</si>
  <si>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</si>
  <si>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</si>
  <si>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</si>
  <si>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</si>
  <si>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</si>
  <si>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</si>
  <si>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</si>
  <si>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</si>
  <si>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</si>
  <si>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</si>
  <si>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</si>
  <si>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</si>
  <si>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</si>
  <si>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</si>
  <si>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</si>
  <si>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</si>
  <si>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</si>
  <si>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</si>
  <si>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</si>
  <si>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</si>
  <si>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</si>
  <si>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</si>
  <si>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</si>
  <si>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</si>
  <si>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</si>
  <si>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</si>
  <si>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</si>
  <si>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</si>
  <si>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</si>
  <si>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</si>
  <si>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</si>
  <si>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</si>
  <si>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</si>
  <si>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</si>
  <si>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</si>
  <si>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</si>
  <si>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</si>
  <si>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</si>
  <si>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</si>
  <si>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</si>
  <si>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</si>
  <si>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</si>
  <si>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</si>
  <si>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</si>
  <si>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</si>
  <si>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</si>
  <si>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</si>
  <si>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</si>
  <si>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</si>
  <si>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</si>
  <si>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</si>
  <si>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</si>
  <si>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</si>
  <si>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</si>
  <si>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</si>
  <si>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</si>
  <si>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</si>
  <si>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</si>
  <si>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</si>
  <si>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</si>
  <si>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</si>
  <si>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</si>
  <si>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</si>
  <si>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</si>
  <si>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</si>
  <si>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</si>
  <si>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</si>
  <si>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</si>
  <si>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</si>
  <si>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</si>
  <si>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</si>
  <si>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</si>
  <si>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</si>
  <si>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</si>
  <si>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</si>
  <si>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</si>
  <si>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</si>
  <si>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</si>
  <si>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</si>
  <si>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</si>
  <si>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</si>
  <si>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</si>
  <si>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</si>
  <si>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</si>
  <si>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</si>
  <si>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</si>
  <si>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</si>
  <si>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</si>
  <si>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</si>
  <si>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</si>
  <si>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</si>
  <si>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</si>
  <si>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</si>
  <si>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</si>
  <si>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</si>
  <si>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</si>
  <si>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</si>
  <si>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</si>
  <si>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</si>
  <si>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</si>
  <si>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</si>
  <si>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</si>
  <si>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</si>
  <si>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</si>
  <si>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</si>
  <si>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</si>
  <si>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</si>
  <si>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</si>
  <si>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</si>
  <si>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</si>
  <si>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</si>
  <si>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3.3.90.14</t>
  </si>
  <si>
    <t>Diárias</t>
  </si>
  <si>
    <t>3.390.93</t>
  </si>
  <si>
    <t xml:space="preserve">Indenizações e Restituições  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</si>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</sst>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58</v>
      </c>
      <c r="T3" s="184">
        <v>3</v>
      </c>
      <c r="U3" s="202"/>
      <c r="V3" s="182"/>
      <c r="W3" s="183" t="s">
        <v>60</v>
      </c>
      <c r="X3" s="186">
        <v>5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87</v>
      </c>
      <c r="T6" s="15"/>
      <c r="U6" s="465" t="str">
        <f>LOOKUP(T3,R6:R9,S6:S9)</f>
        <v>3º TRIMESTRE</v>
      </c>
      <c r="V6" s="192">
        <v>1</v>
      </c>
      <c r="W6" s="12" t="s">
        <v>812</v>
      </c>
      <c r="X6" s="15">
        <v>1</v>
      </c>
      <c r="Y6" s="466" t="str">
        <f>LOOKUP(X3,V6:V11,W6:W11)</f>
        <v>2005</v>
      </c>
    </row>
    <row r="7" spans="18:25" ht="12.75">
      <c r="R7" s="192">
        <v>2</v>
      </c>
      <c r="S7" s="15" t="s">
        <v>88</v>
      </c>
      <c r="T7" s="15"/>
      <c r="U7" s="195"/>
      <c r="V7" s="192">
        <v>2</v>
      </c>
      <c r="W7" s="12" t="s">
        <v>813</v>
      </c>
      <c r="X7" s="193"/>
      <c r="Y7" s="190"/>
    </row>
    <row r="8" spans="18:25" ht="12.75">
      <c r="R8" s="192">
        <v>3</v>
      </c>
      <c r="S8" s="15" t="s">
        <v>89</v>
      </c>
      <c r="T8" s="15"/>
      <c r="U8" s="195"/>
      <c r="V8" s="192">
        <v>3</v>
      </c>
      <c r="W8" s="12" t="s">
        <v>814</v>
      </c>
      <c r="X8" s="193"/>
      <c r="Y8" s="190"/>
    </row>
    <row r="9" spans="18:25" ht="12.75">
      <c r="R9" s="192">
        <v>4</v>
      </c>
      <c r="S9" s="15" t="s">
        <v>90</v>
      </c>
      <c r="T9" s="15"/>
      <c r="U9" s="195"/>
      <c r="V9" s="192">
        <v>4</v>
      </c>
      <c r="W9" s="12" t="s">
        <v>25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26</v>
      </c>
      <c r="X10" s="195"/>
      <c r="Y10" s="190"/>
    </row>
    <row r="11" spans="22:25" ht="12.75">
      <c r="V11" s="192">
        <v>6</v>
      </c>
      <c r="W11" s="12" t="s">
        <v>27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683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816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909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A43" sqref="A43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2" t="s">
        <v>917</v>
      </c>
      <c r="C2" s="632" t="s">
        <v>916</v>
      </c>
      <c r="D2" s="634" t="str">
        <f>COMANDOBLOQUEADO!S19</f>
        <v>CARDOSO</v>
      </c>
      <c r="E2" s="610"/>
      <c r="F2" s="529"/>
      <c r="G2" s="634" t="s">
        <v>59</v>
      </c>
      <c r="H2" s="529" t="str">
        <f>COMANDOBLOQUEADO!U6</f>
        <v>3º TRIMESTRE</v>
      </c>
      <c r="I2" s="529" t="str">
        <f>COMANDOBLOQUEADO!Y6</f>
        <v>2005</v>
      </c>
    </row>
    <row r="3" spans="1:9" ht="13.5" customHeight="1">
      <c r="A3" s="46"/>
      <c r="B3" s="632"/>
      <c r="C3" s="632"/>
      <c r="D3" s="529"/>
      <c r="E3" s="610"/>
      <c r="F3" s="529"/>
      <c r="G3" s="529"/>
      <c r="H3" s="529"/>
      <c r="I3" s="529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4" t="s">
        <v>745</v>
      </c>
      <c r="C5" s="647"/>
      <c r="D5" s="647"/>
      <c r="E5" s="647"/>
      <c r="F5" s="647"/>
      <c r="G5" s="647"/>
      <c r="H5" s="647"/>
      <c r="I5" s="647"/>
    </row>
    <row r="6" spans="2:9" ht="13.5" customHeight="1">
      <c r="B6" s="618" t="s">
        <v>710</v>
      </c>
      <c r="C6" s="619"/>
      <c r="D6" s="607" t="s">
        <v>737</v>
      </c>
      <c r="E6" s="607" t="s">
        <v>738</v>
      </c>
      <c r="F6" s="607" t="s">
        <v>739</v>
      </c>
      <c r="G6" s="607" t="s">
        <v>740</v>
      </c>
      <c r="H6" s="607" t="s">
        <v>743</v>
      </c>
      <c r="I6" s="604" t="s">
        <v>702</v>
      </c>
    </row>
    <row r="7" spans="2:9" ht="13.5" customHeight="1" thickBot="1">
      <c r="B7" s="636"/>
      <c r="C7" s="637"/>
      <c r="D7" s="633"/>
      <c r="E7" s="633"/>
      <c r="F7" s="633"/>
      <c r="G7" s="633"/>
      <c r="H7" s="633"/>
      <c r="I7" s="635"/>
    </row>
    <row r="8" spans="2:9" ht="13.5" customHeight="1" thickBot="1">
      <c r="B8" s="82" t="s">
        <v>854</v>
      </c>
      <c r="C8" s="60" t="s">
        <v>721</v>
      </c>
      <c r="D8" s="51" t="s">
        <v>35</v>
      </c>
      <c r="E8" s="51" t="s">
        <v>35</v>
      </c>
      <c r="F8" s="51" t="s">
        <v>35</v>
      </c>
      <c r="G8" s="51" t="s">
        <v>35</v>
      </c>
      <c r="H8" s="51" t="s">
        <v>35</v>
      </c>
      <c r="I8" s="52" t="s">
        <v>35</v>
      </c>
    </row>
    <row r="9" spans="2:9" ht="13.5" customHeight="1">
      <c r="B9" s="328" t="s">
        <v>849</v>
      </c>
      <c r="C9" s="53" t="s">
        <v>832</v>
      </c>
      <c r="D9" s="54">
        <v>0</v>
      </c>
      <c r="E9" s="54">
        <v>0</v>
      </c>
      <c r="F9" s="54">
        <v>0</v>
      </c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833</v>
      </c>
      <c r="C10" s="53" t="s">
        <v>834</v>
      </c>
      <c r="D10" s="54">
        <v>167059.73</v>
      </c>
      <c r="E10" s="54">
        <f>148211.31</f>
        <v>148211.31</v>
      </c>
      <c r="F10" s="54">
        <v>161455.22</v>
      </c>
      <c r="G10" s="54"/>
      <c r="H10" s="103">
        <f t="shared" si="0"/>
        <v>476726.26</v>
      </c>
      <c r="I10" s="55">
        <v>426572.19</v>
      </c>
    </row>
    <row r="11" spans="2:9" ht="13.5" customHeight="1">
      <c r="B11" s="328" t="s">
        <v>835</v>
      </c>
      <c r="C11" s="53" t="s">
        <v>836</v>
      </c>
      <c r="D11" s="54">
        <f>10105.66+18075.99</f>
        <v>28181.65</v>
      </c>
      <c r="E11" s="54">
        <f>-7013.8+13370.74</f>
        <v>6356.94</v>
      </c>
      <c r="F11" s="54">
        <f>2468.33+13317.98</f>
        <v>15786.31</v>
      </c>
      <c r="G11" s="54"/>
      <c r="H11" s="103">
        <f t="shared" si="0"/>
        <v>50324.9</v>
      </c>
      <c r="I11" s="55">
        <f>4549.24+44764.71</f>
        <v>49313.95</v>
      </c>
    </row>
    <row r="12" spans="2:9" ht="13.5" customHeight="1">
      <c r="B12" s="328" t="s">
        <v>837</v>
      </c>
      <c r="C12" s="53" t="s">
        <v>907</v>
      </c>
      <c r="D12" s="54">
        <v>0</v>
      </c>
      <c r="E12" s="54">
        <v>0</v>
      </c>
      <c r="F12" s="54">
        <v>0</v>
      </c>
      <c r="G12" s="54"/>
      <c r="H12" s="103">
        <f t="shared" si="0"/>
        <v>0</v>
      </c>
      <c r="I12" s="55">
        <v>0</v>
      </c>
    </row>
    <row r="13" spans="2:9" ht="13.5" customHeight="1">
      <c r="B13" s="128" t="s">
        <v>850</v>
      </c>
      <c r="C13" s="59" t="s">
        <v>851</v>
      </c>
      <c r="D13" s="54">
        <v>827.92</v>
      </c>
      <c r="E13" s="54">
        <v>0</v>
      </c>
      <c r="F13" s="54">
        <v>0</v>
      </c>
      <c r="G13" s="54"/>
      <c r="H13" s="103">
        <f t="shared" si="0"/>
        <v>827.92</v>
      </c>
      <c r="I13" s="55">
        <v>816.22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>
        <v>0</v>
      </c>
    </row>
    <row r="15" spans="2:9" ht="13.5" customHeight="1" thickBot="1">
      <c r="B15" s="124"/>
      <c r="C15" s="60" t="s">
        <v>704</v>
      </c>
      <c r="D15" s="63">
        <f aca="true" t="shared" si="1" ref="D15:I15">SUM(D9:D14)</f>
        <v>196069.30000000002</v>
      </c>
      <c r="E15" s="63">
        <f t="shared" si="1"/>
        <v>154568.25</v>
      </c>
      <c r="F15" s="63">
        <f t="shared" si="1"/>
        <v>177241.53</v>
      </c>
      <c r="G15" s="63">
        <f t="shared" si="1"/>
        <v>0</v>
      </c>
      <c r="H15" s="63">
        <f t="shared" si="1"/>
        <v>527879.0800000001</v>
      </c>
      <c r="I15" s="64">
        <f t="shared" si="1"/>
        <v>476702.36</v>
      </c>
    </row>
    <row r="16" spans="2:9" ht="13.5" customHeight="1" thickBot="1">
      <c r="B16" s="82" t="s">
        <v>854</v>
      </c>
      <c r="C16" s="60" t="s">
        <v>711</v>
      </c>
      <c r="D16" s="51" t="s">
        <v>35</v>
      </c>
      <c r="E16" s="51" t="s">
        <v>35</v>
      </c>
      <c r="F16" s="51" t="s">
        <v>35</v>
      </c>
      <c r="G16" s="51" t="s">
        <v>35</v>
      </c>
      <c r="H16" s="51" t="s">
        <v>35</v>
      </c>
      <c r="I16" s="52" t="s">
        <v>35</v>
      </c>
    </row>
    <row r="17" spans="2:9" ht="13.5" customHeight="1">
      <c r="B17" s="328" t="s">
        <v>849</v>
      </c>
      <c r="C17" s="53" t="s">
        <v>832</v>
      </c>
      <c r="D17" s="54">
        <v>0</v>
      </c>
      <c r="E17" s="54">
        <v>0</v>
      </c>
      <c r="F17" s="54">
        <v>0</v>
      </c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833</v>
      </c>
      <c r="C18" s="53" t="s">
        <v>834</v>
      </c>
      <c r="D18" s="54">
        <f>68970.89-39671.8</f>
        <v>29299.089999999997</v>
      </c>
      <c r="E18" s="54">
        <f>63776.4+1805.05</f>
        <v>65581.45</v>
      </c>
      <c r="F18" s="54">
        <v>15303.07</v>
      </c>
      <c r="G18" s="54"/>
      <c r="H18" s="103">
        <f t="shared" si="2"/>
        <v>110183.60999999999</v>
      </c>
      <c r="I18" s="55">
        <v>100072.26</v>
      </c>
    </row>
    <row r="19" spans="2:9" ht="13.5" customHeight="1">
      <c r="B19" s="328" t="s">
        <v>835</v>
      </c>
      <c r="C19" s="53" t="s">
        <v>836</v>
      </c>
      <c r="D19" s="54">
        <f>4454.35+2237.9</f>
        <v>6692.25</v>
      </c>
      <c r="E19" s="54">
        <f>-4454.35+6540.97</f>
        <v>2086.62</v>
      </c>
      <c r="F19" s="54">
        <f>408.35+6034.45</f>
        <v>6442.8</v>
      </c>
      <c r="G19" s="54"/>
      <c r="H19" s="103">
        <f t="shared" si="2"/>
        <v>15221.669999999998</v>
      </c>
      <c r="I19" s="55">
        <f>222.73+14813.32</f>
        <v>15036.05</v>
      </c>
    </row>
    <row r="20" spans="2:9" ht="13.5" customHeight="1">
      <c r="B20" s="328" t="s">
        <v>852</v>
      </c>
      <c r="C20" s="53" t="s">
        <v>853</v>
      </c>
      <c r="D20" s="54">
        <f>33020</f>
        <v>33020</v>
      </c>
      <c r="E20" s="54">
        <v>48865</v>
      </c>
      <c r="F20" s="54">
        <v>1719.6</v>
      </c>
      <c r="G20" s="54"/>
      <c r="H20" s="103">
        <f t="shared" si="2"/>
        <v>83604.6</v>
      </c>
      <c r="I20" s="55">
        <v>83604.6</v>
      </c>
    </row>
    <row r="21" spans="2:9" ht="13.5" customHeight="1">
      <c r="B21" s="328" t="s">
        <v>274</v>
      </c>
      <c r="C21" s="53" t="s">
        <v>859</v>
      </c>
      <c r="D21" s="54">
        <v>0</v>
      </c>
      <c r="E21" s="54">
        <v>0</v>
      </c>
      <c r="F21" s="54">
        <v>0</v>
      </c>
      <c r="G21" s="54"/>
      <c r="H21" s="103">
        <f t="shared" si="2"/>
        <v>0</v>
      </c>
      <c r="I21" s="55">
        <v>0</v>
      </c>
    </row>
    <row r="22" spans="2:9" ht="13.5" customHeight="1">
      <c r="B22" s="328" t="s">
        <v>275</v>
      </c>
      <c r="C22" s="53" t="s">
        <v>860</v>
      </c>
      <c r="D22" s="54">
        <v>0</v>
      </c>
      <c r="E22" s="54">
        <v>0</v>
      </c>
      <c r="F22" s="54">
        <v>0</v>
      </c>
      <c r="G22" s="54"/>
      <c r="H22" s="103">
        <f t="shared" si="2"/>
        <v>0</v>
      </c>
      <c r="I22" s="55">
        <v>0</v>
      </c>
    </row>
    <row r="23" spans="2:9" ht="13.5" customHeight="1">
      <c r="B23" s="127" t="s">
        <v>850</v>
      </c>
      <c r="C23" s="59" t="s">
        <v>851</v>
      </c>
      <c r="D23" s="54">
        <v>0</v>
      </c>
      <c r="E23" s="54">
        <v>652.8</v>
      </c>
      <c r="F23" s="54">
        <v>0</v>
      </c>
      <c r="G23" s="54"/>
      <c r="H23" s="103">
        <f t="shared" si="2"/>
        <v>652.8</v>
      </c>
      <c r="I23" s="55">
        <v>652.8</v>
      </c>
    </row>
    <row r="24" spans="2:9" ht="13.5" customHeight="1">
      <c r="B24" s="127"/>
      <c r="C24" s="59"/>
      <c r="D24" s="54">
        <v>0</v>
      </c>
      <c r="E24" s="54">
        <v>0</v>
      </c>
      <c r="F24" s="54">
        <v>0</v>
      </c>
      <c r="G24" s="54"/>
      <c r="H24" s="103">
        <f t="shared" si="2"/>
        <v>0</v>
      </c>
      <c r="I24" s="55">
        <v>0</v>
      </c>
    </row>
    <row r="25" spans="2:9" ht="13.5" customHeight="1">
      <c r="B25" s="127"/>
      <c r="C25" s="59"/>
      <c r="D25" s="54">
        <v>0</v>
      </c>
      <c r="E25" s="54">
        <v>0</v>
      </c>
      <c r="F25" s="54">
        <v>0</v>
      </c>
      <c r="G25" s="54"/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>
        <v>0</v>
      </c>
      <c r="E26" s="54">
        <v>0</v>
      </c>
      <c r="F26" s="54">
        <v>0</v>
      </c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704</v>
      </c>
      <c r="D27" s="63">
        <f aca="true" t="shared" si="3" ref="D27:I27">SUM(D17:D26)</f>
        <v>69011.34</v>
      </c>
      <c r="E27" s="63">
        <f t="shared" si="3"/>
        <v>117185.87</v>
      </c>
      <c r="F27" s="63">
        <f t="shared" si="3"/>
        <v>23465.469999999998</v>
      </c>
      <c r="G27" s="63">
        <f t="shared" si="3"/>
        <v>0</v>
      </c>
      <c r="H27" s="63">
        <f t="shared" si="3"/>
        <v>209662.68</v>
      </c>
      <c r="I27" s="64">
        <f t="shared" si="3"/>
        <v>199365.71</v>
      </c>
    </row>
    <row r="28" spans="2:9" ht="21.75" customHeight="1" thickBot="1">
      <c r="B28" s="612" t="s">
        <v>744</v>
      </c>
      <c r="C28" s="613"/>
      <c r="D28" s="63">
        <f aca="true" t="shared" si="4" ref="D28:I28">D15+D27</f>
        <v>265080.64</v>
      </c>
      <c r="E28" s="63">
        <f t="shared" si="4"/>
        <v>271754.12</v>
      </c>
      <c r="F28" s="63">
        <f t="shared" si="4"/>
        <v>200707</v>
      </c>
      <c r="G28" s="63">
        <f t="shared" si="4"/>
        <v>0</v>
      </c>
      <c r="H28" s="63">
        <f t="shared" si="4"/>
        <v>737541.76</v>
      </c>
      <c r="I28" s="64">
        <f t="shared" si="4"/>
        <v>676068.07</v>
      </c>
    </row>
    <row r="29" spans="2:9" ht="21.75" customHeight="1" thickBot="1">
      <c r="B29" s="313" t="s">
        <v>864</v>
      </c>
      <c r="C29" s="314"/>
      <c r="D29" s="211">
        <f>IF(D28&lt;RECEITAS!E59,D28,RECEITAS!E59)</f>
        <v>2811.69</v>
      </c>
      <c r="E29" s="211">
        <f>IF(E28&lt;E32,E28,E32)</f>
        <v>2594.96</v>
      </c>
      <c r="F29" s="211">
        <f>IF(F28&lt;F32,F28,F32)</f>
        <v>2756.66</v>
      </c>
      <c r="G29" s="211">
        <f>IF(G28&lt;G32,G28,G32)</f>
        <v>0</v>
      </c>
      <c r="H29" s="130">
        <f>SUM(D29:G29)</f>
        <v>8163.3099999999995</v>
      </c>
      <c r="I29" s="206">
        <f>IF(I28&lt;H29,I28,H29)</f>
        <v>8163.3099999999995</v>
      </c>
    </row>
    <row r="30" spans="2:9" ht="13.5" customHeight="1">
      <c r="B30" s="628" t="s">
        <v>747</v>
      </c>
      <c r="C30" s="629"/>
      <c r="D30" s="624">
        <f aca="true" t="shared" si="5" ref="D30:I30">D28-D29</f>
        <v>262268.95</v>
      </c>
      <c r="E30" s="624">
        <f t="shared" si="5"/>
        <v>269159.16</v>
      </c>
      <c r="F30" s="624">
        <f t="shared" si="5"/>
        <v>197950.34</v>
      </c>
      <c r="G30" s="624">
        <f t="shared" si="5"/>
        <v>0</v>
      </c>
      <c r="H30" s="624">
        <f t="shared" si="5"/>
        <v>729378.45</v>
      </c>
      <c r="I30" s="626">
        <f t="shared" si="5"/>
        <v>667904.7599999999</v>
      </c>
    </row>
    <row r="31" spans="2:9" ht="13.5" customHeight="1" thickBot="1">
      <c r="B31" s="630"/>
      <c r="C31" s="631"/>
      <c r="D31" s="625"/>
      <c r="E31" s="625"/>
      <c r="F31" s="625"/>
      <c r="G31" s="625"/>
      <c r="H31" s="625"/>
      <c r="I31" s="627"/>
    </row>
    <row r="32" spans="3:9" ht="9.75" customHeight="1">
      <c r="C32" s="131"/>
      <c r="D32" s="132"/>
      <c r="E32" s="212">
        <f>RECEITAS!E59-FUNDEF!D29+RECEITAS!F59</f>
        <v>2594.96</v>
      </c>
      <c r="F32" s="212">
        <f>E32-E29+RECEITAS!G59</f>
        <v>2756.66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2">
        <f>IF(H28&gt;RECEITAS!I60,"MENSAGEM: VALOR TOTAL DAS DESPESAS EMPENHADAS NO FUNDEF SUPERIOR ÀS RECEITAS AUFERIDAS NO EXERCÍCIO. REVER A CONTABILIZAÇÃO. PERSISTINDO O ERRO, A PLANILHA NÂO EMITIRÁ O RESUMO CONSOLIDADO.","")</f>
      </c>
      <c r="C33" s="623"/>
      <c r="D33" s="623"/>
      <c r="E33" s="623"/>
      <c r="F33" s="623"/>
      <c r="G33" s="623"/>
      <c r="H33" s="623"/>
      <c r="I33" s="623"/>
    </row>
    <row r="34" spans="2:9" ht="19.5" customHeight="1" thickBot="1">
      <c r="B34" s="644" t="s">
        <v>746</v>
      </c>
      <c r="C34" s="644"/>
      <c r="D34" s="644"/>
      <c r="E34" s="644"/>
      <c r="F34" s="644"/>
      <c r="G34" s="644"/>
      <c r="H34" s="644"/>
      <c r="I34" s="644"/>
    </row>
    <row r="35" spans="2:9" ht="13.5" customHeight="1">
      <c r="B35" s="638" t="s">
        <v>710</v>
      </c>
      <c r="C35" s="639"/>
      <c r="D35" s="642" t="s">
        <v>737</v>
      </c>
      <c r="E35" s="642" t="s">
        <v>738</v>
      </c>
      <c r="F35" s="642" t="s">
        <v>739</v>
      </c>
      <c r="G35" s="642" t="s">
        <v>740</v>
      </c>
      <c r="H35" s="642" t="s">
        <v>743</v>
      </c>
      <c r="I35" s="645" t="s">
        <v>702</v>
      </c>
    </row>
    <row r="36" spans="2:9" ht="13.5" customHeight="1" thickBot="1">
      <c r="B36" s="640"/>
      <c r="C36" s="641"/>
      <c r="D36" s="643"/>
      <c r="E36" s="643"/>
      <c r="F36" s="643"/>
      <c r="G36" s="643"/>
      <c r="H36" s="643"/>
      <c r="I36" s="646"/>
    </row>
    <row r="37" spans="2:9" ht="13.5" customHeight="1" thickBot="1">
      <c r="B37" s="82" t="s">
        <v>701</v>
      </c>
      <c r="C37" s="60" t="s">
        <v>721</v>
      </c>
      <c r="D37" s="51" t="s">
        <v>35</v>
      </c>
      <c r="E37" s="51" t="s">
        <v>35</v>
      </c>
      <c r="F37" s="51" t="s">
        <v>35</v>
      </c>
      <c r="G37" s="51" t="s">
        <v>35</v>
      </c>
      <c r="H37" s="51" t="s">
        <v>35</v>
      </c>
      <c r="I37" s="52" t="s">
        <v>35</v>
      </c>
    </row>
    <row r="38" spans="2:9" ht="13.5" customHeight="1">
      <c r="B38" s="328" t="s">
        <v>849</v>
      </c>
      <c r="C38" s="53" t="s">
        <v>832</v>
      </c>
      <c r="D38" s="54">
        <v>0</v>
      </c>
      <c r="E38" s="54">
        <v>0</v>
      </c>
      <c r="F38" s="54">
        <v>0</v>
      </c>
      <c r="G38" s="54"/>
      <c r="H38" s="103">
        <f>SUM(D38:G38)</f>
        <v>0</v>
      </c>
      <c r="I38" s="438">
        <v>0</v>
      </c>
    </row>
    <row r="39" spans="2:9" ht="13.5" customHeight="1">
      <c r="B39" s="328" t="s">
        <v>833</v>
      </c>
      <c r="C39" s="53" t="s">
        <v>834</v>
      </c>
      <c r="D39" s="54">
        <v>0</v>
      </c>
      <c r="E39" s="54">
        <v>0</v>
      </c>
      <c r="F39" s="54">
        <v>0</v>
      </c>
      <c r="G39" s="54"/>
      <c r="H39" s="102">
        <f>SUM(D39:G39)</f>
        <v>0</v>
      </c>
      <c r="I39" s="438">
        <v>0</v>
      </c>
    </row>
    <row r="40" spans="2:9" ht="13.5" customHeight="1">
      <c r="B40" s="328" t="s">
        <v>835</v>
      </c>
      <c r="C40" s="53" t="s">
        <v>836</v>
      </c>
      <c r="D40" s="54">
        <v>0</v>
      </c>
      <c r="E40" s="54">
        <v>0</v>
      </c>
      <c r="F40" s="54">
        <v>0</v>
      </c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>
        <v>0</v>
      </c>
      <c r="F41" s="54">
        <v>0</v>
      </c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>
        <v>0</v>
      </c>
      <c r="F42" s="54">
        <v>0</v>
      </c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704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701</v>
      </c>
      <c r="C44" s="60" t="s">
        <v>711</v>
      </c>
      <c r="D44" s="51" t="s">
        <v>35</v>
      </c>
      <c r="E44" s="51" t="s">
        <v>35</v>
      </c>
      <c r="F44" s="51" t="s">
        <v>35</v>
      </c>
      <c r="G44" s="51" t="s">
        <v>35</v>
      </c>
      <c r="H44" s="51" t="s">
        <v>35</v>
      </c>
      <c r="I44" s="52" t="s">
        <v>35</v>
      </c>
    </row>
    <row r="45" spans="2:9" ht="13.5" customHeight="1">
      <c r="B45" s="328" t="s">
        <v>849</v>
      </c>
      <c r="C45" s="53" t="s">
        <v>832</v>
      </c>
      <c r="D45" s="54">
        <v>0</v>
      </c>
      <c r="E45" s="54">
        <v>0</v>
      </c>
      <c r="F45" s="54">
        <v>0</v>
      </c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833</v>
      </c>
      <c r="C46" s="53" t="s">
        <v>834</v>
      </c>
      <c r="D46" s="54">
        <v>0</v>
      </c>
      <c r="E46" s="54">
        <v>0</v>
      </c>
      <c r="F46" s="54">
        <v>70342.1</v>
      </c>
      <c r="G46" s="54"/>
      <c r="H46" s="102">
        <f t="shared" si="7"/>
        <v>70342.1</v>
      </c>
      <c r="I46" s="438">
        <v>70342.1</v>
      </c>
    </row>
    <row r="47" spans="2:9" ht="13.5" customHeight="1">
      <c r="B47" s="328" t="s">
        <v>835</v>
      </c>
      <c r="C47" s="53" t="s">
        <v>836</v>
      </c>
      <c r="D47" s="54">
        <v>0</v>
      </c>
      <c r="E47" s="54">
        <v>0</v>
      </c>
      <c r="F47" s="54">
        <v>0</v>
      </c>
      <c r="G47" s="54"/>
      <c r="H47" s="102">
        <f t="shared" si="7"/>
        <v>0</v>
      </c>
      <c r="I47" s="438">
        <v>0</v>
      </c>
    </row>
    <row r="48" spans="2:9" ht="13.5" customHeight="1">
      <c r="B48" s="328" t="s">
        <v>852</v>
      </c>
      <c r="C48" s="53" t="s">
        <v>853</v>
      </c>
      <c r="D48" s="54">
        <v>0</v>
      </c>
      <c r="E48" s="54">
        <v>0</v>
      </c>
      <c r="F48" s="54">
        <v>0</v>
      </c>
      <c r="G48" s="54"/>
      <c r="H48" s="102">
        <f t="shared" si="7"/>
        <v>0</v>
      </c>
      <c r="I48" s="438">
        <v>0</v>
      </c>
    </row>
    <row r="49" spans="2:9" ht="13.5" customHeight="1">
      <c r="B49" s="328" t="s">
        <v>274</v>
      </c>
      <c r="C49" s="53" t="s">
        <v>859</v>
      </c>
      <c r="D49" s="54">
        <v>0</v>
      </c>
      <c r="E49" s="54">
        <v>0</v>
      </c>
      <c r="F49" s="54">
        <v>0</v>
      </c>
      <c r="G49" s="54"/>
      <c r="H49" s="102">
        <f t="shared" si="7"/>
        <v>0</v>
      </c>
      <c r="I49" s="438">
        <v>0</v>
      </c>
    </row>
    <row r="50" spans="2:9" ht="13.5" customHeight="1">
      <c r="B50" s="328" t="s">
        <v>275</v>
      </c>
      <c r="C50" s="53" t="s">
        <v>860</v>
      </c>
      <c r="D50" s="54">
        <v>0</v>
      </c>
      <c r="E50" s="54">
        <v>0</v>
      </c>
      <c r="F50" s="54">
        <v>0</v>
      </c>
      <c r="G50" s="54"/>
      <c r="H50" s="102">
        <f t="shared" si="7"/>
        <v>0</v>
      </c>
      <c r="I50" s="438">
        <v>0</v>
      </c>
    </row>
    <row r="51" spans="2:9" ht="13.5" customHeight="1">
      <c r="B51" s="127"/>
      <c r="C51" s="59"/>
      <c r="D51" s="54">
        <v>0</v>
      </c>
      <c r="E51" s="54">
        <v>0</v>
      </c>
      <c r="F51" s="54">
        <v>0</v>
      </c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>
        <v>0</v>
      </c>
      <c r="F52" s="54">
        <v>0</v>
      </c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>
        <v>0</v>
      </c>
      <c r="E53" s="54">
        <v>0</v>
      </c>
      <c r="F53" s="54">
        <v>0</v>
      </c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704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70342.1</v>
      </c>
      <c r="G54" s="63">
        <f t="shared" si="8"/>
        <v>0</v>
      </c>
      <c r="H54" s="63">
        <f t="shared" si="8"/>
        <v>70342.1</v>
      </c>
      <c r="I54" s="64">
        <f t="shared" si="8"/>
        <v>70342.1</v>
      </c>
    </row>
    <row r="55" spans="2:9" ht="21.75" customHeight="1" thickBot="1">
      <c r="B55" s="612" t="s">
        <v>744</v>
      </c>
      <c r="C55" s="613"/>
      <c r="D55" s="63">
        <f aca="true" t="shared" si="9" ref="D55:I55">D43+D54</f>
        <v>0</v>
      </c>
      <c r="E55" s="63">
        <f t="shared" si="9"/>
        <v>0</v>
      </c>
      <c r="F55" s="63">
        <f t="shared" si="9"/>
        <v>70342.1</v>
      </c>
      <c r="G55" s="63">
        <f t="shared" si="9"/>
        <v>0</v>
      </c>
      <c r="H55" s="63">
        <f t="shared" si="9"/>
        <v>70342.1</v>
      </c>
      <c r="I55" s="64">
        <f t="shared" si="9"/>
        <v>70342.1</v>
      </c>
    </row>
    <row r="57" spans="2:7" ht="15">
      <c r="B57" s="316" t="s">
        <v>866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I55" sqref="I55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918</v>
      </c>
      <c r="C2" s="105" t="s">
        <v>912</v>
      </c>
      <c r="D2" s="556" t="str">
        <f>COMANDOBLOQUEADO!S19</f>
        <v>CARDOSO</v>
      </c>
      <c r="E2" s="653"/>
      <c r="F2" s="107"/>
      <c r="G2" s="105" t="s">
        <v>59</v>
      </c>
      <c r="H2" s="106" t="str">
        <f>COMANDOBLOQUEADO!U6</f>
        <v>3º TRIMESTRE</v>
      </c>
      <c r="I2" s="106" t="str">
        <f>COMANDOBLOQUEADO!Y6</f>
        <v>2005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4" t="s">
        <v>868</v>
      </c>
      <c r="C4" s="647"/>
      <c r="D4" s="647"/>
      <c r="E4" s="647"/>
      <c r="F4" s="647"/>
      <c r="G4" s="647"/>
      <c r="H4" s="647"/>
      <c r="I4" s="647"/>
      <c r="J4" s="27"/>
    </row>
    <row r="5" spans="2:10" ht="15" customHeight="1">
      <c r="B5" s="638" t="s">
        <v>870</v>
      </c>
      <c r="C5" s="650"/>
      <c r="D5" s="648" t="s">
        <v>737</v>
      </c>
      <c r="E5" s="648" t="s">
        <v>738</v>
      </c>
      <c r="F5" s="648" t="s">
        <v>739</v>
      </c>
      <c r="G5" s="648" t="s">
        <v>740</v>
      </c>
      <c r="H5" s="648" t="s">
        <v>741</v>
      </c>
      <c r="I5" s="645" t="s">
        <v>742</v>
      </c>
      <c r="J5" s="27"/>
    </row>
    <row r="6" spans="2:10" ht="15" customHeight="1" thickBot="1">
      <c r="B6" s="651"/>
      <c r="C6" s="652"/>
      <c r="D6" s="649"/>
      <c r="E6" s="649"/>
      <c r="F6" s="649"/>
      <c r="G6" s="649"/>
      <c r="H6" s="649"/>
      <c r="I6" s="656"/>
      <c r="J6" s="27"/>
    </row>
    <row r="7" spans="2:10" ht="13.5" customHeight="1" thickBot="1">
      <c r="B7" s="82" t="s">
        <v>854</v>
      </c>
      <c r="C7" s="60" t="s">
        <v>867</v>
      </c>
      <c r="D7" s="51" t="s">
        <v>35</v>
      </c>
      <c r="E7" s="51" t="s">
        <v>35</v>
      </c>
      <c r="F7" s="51" t="s">
        <v>35</v>
      </c>
      <c r="G7" s="51" t="s">
        <v>35</v>
      </c>
      <c r="H7" s="51" t="s">
        <v>35</v>
      </c>
      <c r="I7" s="52" t="s">
        <v>35</v>
      </c>
      <c r="J7" s="27"/>
    </row>
    <row r="8" spans="2:10" ht="13.5" customHeight="1">
      <c r="B8" s="327" t="s">
        <v>848</v>
      </c>
      <c r="C8" s="53" t="s">
        <v>831</v>
      </c>
      <c r="D8" s="54">
        <v>2244.69</v>
      </c>
      <c r="E8" s="54">
        <v>1706.87</v>
      </c>
      <c r="F8" s="54">
        <v>1530</v>
      </c>
      <c r="G8" s="54"/>
      <c r="H8" s="103">
        <f>SUM(D8:G8)</f>
        <v>5481.5599999999995</v>
      </c>
      <c r="I8" s="55">
        <v>4881.56</v>
      </c>
      <c r="J8" s="27"/>
    </row>
    <row r="9" spans="2:10" ht="13.5" customHeight="1">
      <c r="B9" s="328" t="s">
        <v>849</v>
      </c>
      <c r="C9" s="53" t="s">
        <v>832</v>
      </c>
      <c r="D9" s="54">
        <v>0</v>
      </c>
      <c r="E9" s="54">
        <v>0</v>
      </c>
      <c r="F9" s="54">
        <v>0</v>
      </c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833</v>
      </c>
      <c r="C10" s="53" t="s">
        <v>834</v>
      </c>
      <c r="D10" s="54">
        <v>81706.73</v>
      </c>
      <c r="E10" s="54">
        <v>80623.34</v>
      </c>
      <c r="F10" s="54">
        <v>86570.73</v>
      </c>
      <c r="G10" s="54"/>
      <c r="H10" s="102">
        <f t="shared" si="0"/>
        <v>248900.8</v>
      </c>
      <c r="I10" s="55">
        <v>219760.34</v>
      </c>
      <c r="J10" s="27"/>
    </row>
    <row r="11" spans="2:10" ht="13.5" customHeight="1">
      <c r="B11" s="328" t="s">
        <v>835</v>
      </c>
      <c r="C11" s="53" t="s">
        <v>836</v>
      </c>
      <c r="D11" s="54">
        <f>7081.76+7524.32</f>
        <v>14606.08</v>
      </c>
      <c r="E11" s="54">
        <f>-2151.65+7338.42</f>
        <v>5186.77</v>
      </c>
      <c r="F11" s="54">
        <f>2884.26+7656.4</f>
        <v>10540.66</v>
      </c>
      <c r="G11" s="54"/>
      <c r="H11" s="102">
        <f t="shared" si="0"/>
        <v>30333.51</v>
      </c>
      <c r="I11" s="55">
        <f>6873.96+22519.14</f>
        <v>29393.1</v>
      </c>
      <c r="J11" s="27"/>
    </row>
    <row r="12" spans="2:10" ht="13.5" customHeight="1">
      <c r="B12" s="328" t="s">
        <v>837</v>
      </c>
      <c r="C12" s="53" t="s">
        <v>907</v>
      </c>
      <c r="D12" s="54">
        <v>0</v>
      </c>
      <c r="E12" s="54">
        <v>65.9</v>
      </c>
      <c r="F12" s="54">
        <v>65.9</v>
      </c>
      <c r="G12" s="54"/>
      <c r="H12" s="102">
        <f t="shared" si="0"/>
        <v>131.8</v>
      </c>
      <c r="I12" s="55">
        <v>131.8</v>
      </c>
      <c r="J12" s="27"/>
    </row>
    <row r="13" spans="2:10" ht="13.5" customHeight="1">
      <c r="B13" s="328" t="s">
        <v>850</v>
      </c>
      <c r="C13" s="53" t="s">
        <v>851</v>
      </c>
      <c r="D13" s="54">
        <v>1108.77</v>
      </c>
      <c r="E13" s="54">
        <v>0</v>
      </c>
      <c r="F13" s="54">
        <v>333.34</v>
      </c>
      <c r="G13" s="54"/>
      <c r="H13" s="102">
        <f t="shared" si="0"/>
        <v>1442.11</v>
      </c>
      <c r="I13" s="55">
        <v>1442.11</v>
      </c>
      <c r="J13" s="27"/>
    </row>
    <row r="14" spans="2:10" ht="13.5" customHeight="1">
      <c r="B14" s="328" t="s">
        <v>852</v>
      </c>
      <c r="C14" s="53" t="s">
        <v>853</v>
      </c>
      <c r="D14" s="54">
        <f>3204.09</f>
        <v>3204.09</v>
      </c>
      <c r="E14" s="54">
        <f>10567.6+2466.58</f>
        <v>13034.18</v>
      </c>
      <c r="F14" s="54">
        <f>10924+103.87</f>
        <v>11027.87</v>
      </c>
      <c r="G14" s="54"/>
      <c r="H14" s="102">
        <f t="shared" si="0"/>
        <v>27266.14</v>
      </c>
      <c r="I14" s="55">
        <f>21011.6+5747.54</f>
        <v>26759.14</v>
      </c>
      <c r="J14" s="27"/>
    </row>
    <row r="15" spans="2:10" ht="13.5" customHeight="1">
      <c r="B15" s="328" t="s">
        <v>855</v>
      </c>
      <c r="C15" s="53" t="s">
        <v>856</v>
      </c>
      <c r="D15" s="54">
        <v>0</v>
      </c>
      <c r="E15" s="54">
        <v>0</v>
      </c>
      <c r="F15" s="54">
        <v>0</v>
      </c>
      <c r="G15" s="54"/>
      <c r="H15" s="102">
        <f t="shared" si="0"/>
        <v>0</v>
      </c>
      <c r="I15" s="55">
        <v>0</v>
      </c>
      <c r="J15" s="27"/>
    </row>
    <row r="16" spans="2:10" ht="13.5" customHeight="1">
      <c r="B16" s="328" t="s">
        <v>858</v>
      </c>
      <c r="C16" s="53" t="s">
        <v>857</v>
      </c>
      <c r="D16" s="54">
        <v>3988.45</v>
      </c>
      <c r="E16" s="54">
        <v>5144.34</v>
      </c>
      <c r="F16" s="54">
        <v>4106.04</v>
      </c>
      <c r="G16" s="54"/>
      <c r="H16" s="102">
        <f t="shared" si="0"/>
        <v>13238.830000000002</v>
      </c>
      <c r="I16" s="55">
        <v>12187.74</v>
      </c>
      <c r="J16" s="27"/>
    </row>
    <row r="17" spans="2:10" ht="13.5" customHeight="1">
      <c r="B17" s="328" t="s">
        <v>274</v>
      </c>
      <c r="C17" s="53" t="s">
        <v>859</v>
      </c>
      <c r="D17" s="54">
        <v>0</v>
      </c>
      <c r="E17" s="54">
        <v>0</v>
      </c>
      <c r="F17" s="54">
        <v>0</v>
      </c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275</v>
      </c>
      <c r="C18" s="53" t="s">
        <v>860</v>
      </c>
      <c r="D18" s="54">
        <v>1638</v>
      </c>
      <c r="E18" s="54">
        <v>0</v>
      </c>
      <c r="F18" s="54">
        <v>0</v>
      </c>
      <c r="G18" s="54"/>
      <c r="H18" s="122">
        <f t="shared" si="0"/>
        <v>1638</v>
      </c>
      <c r="I18" s="318">
        <v>1638</v>
      </c>
      <c r="J18" s="27"/>
    </row>
    <row r="19" spans="2:10" ht="13.5" customHeight="1">
      <c r="B19" s="126"/>
      <c r="C19" s="136"/>
      <c r="D19" s="54">
        <v>0</v>
      </c>
      <c r="E19" s="54">
        <v>0</v>
      </c>
      <c r="F19" s="54">
        <v>0</v>
      </c>
      <c r="G19" s="54"/>
      <c r="H19" s="102">
        <f>SUM(D19:G19)</f>
        <v>0</v>
      </c>
      <c r="I19" s="439">
        <v>0</v>
      </c>
      <c r="J19" s="27"/>
    </row>
    <row r="20" spans="2:10" ht="13.5" customHeight="1">
      <c r="B20" s="134"/>
      <c r="C20" s="65"/>
      <c r="D20" s="54">
        <v>0</v>
      </c>
      <c r="E20" s="54">
        <v>0</v>
      </c>
      <c r="F20" s="54">
        <v>0</v>
      </c>
      <c r="G20" s="54"/>
      <c r="H20" s="102">
        <f aca="true" t="shared" si="1" ref="H20:H30">SUM(D20:G20)</f>
        <v>0</v>
      </c>
      <c r="I20" s="55">
        <v>0</v>
      </c>
      <c r="J20" s="27"/>
    </row>
    <row r="21" spans="2:10" ht="13.5" customHeight="1">
      <c r="B21" s="134"/>
      <c r="C21" s="65"/>
      <c r="D21" s="54">
        <v>0</v>
      </c>
      <c r="E21" s="54">
        <v>0</v>
      </c>
      <c r="F21" s="54">
        <v>0</v>
      </c>
      <c r="G21" s="54"/>
      <c r="H21" s="102">
        <f t="shared" si="1"/>
        <v>0</v>
      </c>
      <c r="I21" s="55">
        <v>0</v>
      </c>
      <c r="J21" s="27"/>
    </row>
    <row r="22" spans="2:10" ht="13.5" customHeight="1">
      <c r="B22" s="134"/>
      <c r="C22" s="65"/>
      <c r="D22" s="54">
        <v>0</v>
      </c>
      <c r="E22" s="54">
        <v>0</v>
      </c>
      <c r="F22" s="54">
        <v>0</v>
      </c>
      <c r="G22" s="54"/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>
        <v>0</v>
      </c>
      <c r="F23" s="54">
        <v>0</v>
      </c>
      <c r="G23" s="54"/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>
        <v>0</v>
      </c>
      <c r="F24" s="54">
        <v>0</v>
      </c>
      <c r="G24" s="54"/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>
        <v>0</v>
      </c>
      <c r="F25" s="54">
        <v>0</v>
      </c>
      <c r="G25" s="54"/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>
        <v>0</v>
      </c>
      <c r="F26" s="54">
        <v>0</v>
      </c>
      <c r="G26" s="54"/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>
        <v>0</v>
      </c>
      <c r="F27" s="54">
        <v>0</v>
      </c>
      <c r="G27" s="54"/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>
        <v>0</v>
      </c>
      <c r="F28" s="54">
        <v>0</v>
      </c>
      <c r="G28" s="54"/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>
        <v>0</v>
      </c>
      <c r="F29" s="54">
        <v>0</v>
      </c>
      <c r="G29" s="54"/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>
        <v>0</v>
      </c>
      <c r="F30" s="54">
        <v>0</v>
      </c>
      <c r="G30" s="54"/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704</v>
      </c>
      <c r="D31" s="63">
        <f aca="true" t="shared" si="2" ref="D31:I31">SUM(D8:D30)</f>
        <v>108496.81</v>
      </c>
      <c r="E31" s="63">
        <f t="shared" si="2"/>
        <v>105761.4</v>
      </c>
      <c r="F31" s="63">
        <f t="shared" si="2"/>
        <v>114174.53999999998</v>
      </c>
      <c r="G31" s="63">
        <f t="shared" si="2"/>
        <v>0</v>
      </c>
      <c r="H31" s="63">
        <f t="shared" si="2"/>
        <v>328432.75</v>
      </c>
      <c r="I31" s="64">
        <f t="shared" si="2"/>
        <v>296193.79</v>
      </c>
      <c r="J31" s="27"/>
    </row>
    <row r="32" spans="2:10" ht="13.5" customHeight="1" thickBot="1">
      <c r="B32" s="82" t="s">
        <v>854</v>
      </c>
      <c r="C32" s="60" t="s">
        <v>869</v>
      </c>
      <c r="D32" s="51" t="s">
        <v>35</v>
      </c>
      <c r="E32" s="51" t="s">
        <v>35</v>
      </c>
      <c r="F32" s="51" t="s">
        <v>35</v>
      </c>
      <c r="G32" s="51" t="s">
        <v>35</v>
      </c>
      <c r="H32" s="51" t="s">
        <v>35</v>
      </c>
      <c r="I32" s="133" t="s">
        <v>35</v>
      </c>
      <c r="J32" s="27"/>
    </row>
    <row r="33" spans="2:10" ht="13.5" customHeight="1">
      <c r="B33" s="328" t="s">
        <v>849</v>
      </c>
      <c r="C33" s="53" t="s">
        <v>832</v>
      </c>
      <c r="D33" s="54">
        <v>0</v>
      </c>
      <c r="E33" s="54">
        <v>0</v>
      </c>
      <c r="F33" s="54">
        <v>0</v>
      </c>
      <c r="G33" s="54"/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833</v>
      </c>
      <c r="C34" s="53" t="s">
        <v>834</v>
      </c>
      <c r="D34" s="54">
        <v>0</v>
      </c>
      <c r="E34" s="54">
        <v>0</v>
      </c>
      <c r="F34" s="54">
        <v>0</v>
      </c>
      <c r="G34" s="54"/>
      <c r="H34" s="102">
        <f t="shared" si="3"/>
        <v>0</v>
      </c>
      <c r="I34" s="55">
        <v>0</v>
      </c>
      <c r="J34" s="27"/>
    </row>
    <row r="35" spans="2:10" ht="13.5" customHeight="1">
      <c r="B35" s="328" t="s">
        <v>835</v>
      </c>
      <c r="C35" s="53" t="s">
        <v>836</v>
      </c>
      <c r="D35" s="54">
        <v>0</v>
      </c>
      <c r="E35" s="54">
        <v>0</v>
      </c>
      <c r="F35" s="54">
        <v>0</v>
      </c>
      <c r="G35" s="54"/>
      <c r="H35" s="102">
        <f t="shared" si="3"/>
        <v>0</v>
      </c>
      <c r="I35" s="55">
        <v>0</v>
      </c>
      <c r="J35" s="27"/>
    </row>
    <row r="36" spans="2:10" ht="13.5" customHeight="1">
      <c r="B36" s="328" t="s">
        <v>852</v>
      </c>
      <c r="C36" s="53" t="s">
        <v>853</v>
      </c>
      <c r="D36" s="54">
        <v>0</v>
      </c>
      <c r="E36" s="54">
        <v>0</v>
      </c>
      <c r="F36" s="54">
        <v>0</v>
      </c>
      <c r="G36" s="54"/>
      <c r="H36" s="102">
        <f t="shared" si="3"/>
        <v>0</v>
      </c>
      <c r="I36" s="55">
        <v>0</v>
      </c>
      <c r="J36" s="27"/>
    </row>
    <row r="37" spans="2:10" ht="13.5" customHeight="1">
      <c r="B37" s="328" t="s">
        <v>274</v>
      </c>
      <c r="C37" s="53" t="s">
        <v>859</v>
      </c>
      <c r="D37" s="54">
        <v>0</v>
      </c>
      <c r="E37" s="54">
        <v>0</v>
      </c>
      <c r="F37" s="54">
        <v>0</v>
      </c>
      <c r="G37" s="54"/>
      <c r="H37" s="102">
        <f t="shared" si="3"/>
        <v>0</v>
      </c>
      <c r="I37" s="55">
        <v>0</v>
      </c>
      <c r="J37" s="27"/>
    </row>
    <row r="38" spans="2:10" ht="13.5" customHeight="1">
      <c r="B38" s="328" t="s">
        <v>275</v>
      </c>
      <c r="C38" s="53" t="s">
        <v>860</v>
      </c>
      <c r="D38" s="54">
        <v>0</v>
      </c>
      <c r="E38" s="54">
        <v>0</v>
      </c>
      <c r="F38" s="54">
        <v>0</v>
      </c>
      <c r="G38" s="54"/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>
        <v>0</v>
      </c>
      <c r="F39" s="54">
        <v>0</v>
      </c>
      <c r="G39" s="54"/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>
        <v>0</v>
      </c>
      <c r="F40" s="54">
        <v>0</v>
      </c>
      <c r="G40" s="54"/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>
        <v>0</v>
      </c>
      <c r="F41" s="54">
        <v>0</v>
      </c>
      <c r="G41" s="54"/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>
        <v>0</v>
      </c>
      <c r="F42" s="54">
        <v>0</v>
      </c>
      <c r="G42" s="54"/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>
        <v>0</v>
      </c>
      <c r="F43" s="54">
        <v>0</v>
      </c>
      <c r="G43" s="54"/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>
        <v>0</v>
      </c>
      <c r="F44" s="54">
        <v>0</v>
      </c>
      <c r="G44" s="54"/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704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4" t="s">
        <v>872</v>
      </c>
      <c r="C46" s="655"/>
      <c r="D46" s="63">
        <f aca="true" t="shared" si="5" ref="D46:I46">D31+D45</f>
        <v>108496.81</v>
      </c>
      <c r="E46" s="63">
        <f t="shared" si="5"/>
        <v>105761.4</v>
      </c>
      <c r="F46" s="63">
        <f t="shared" si="5"/>
        <v>114174.53999999998</v>
      </c>
      <c r="G46" s="63">
        <f t="shared" si="5"/>
        <v>0</v>
      </c>
      <c r="H46" s="63">
        <f t="shared" si="5"/>
        <v>328432.75</v>
      </c>
      <c r="I46" s="64">
        <f t="shared" si="5"/>
        <v>296193.79</v>
      </c>
      <c r="J46" s="27"/>
    </row>
    <row r="47" spans="2:10" ht="24" customHeight="1">
      <c r="B47" s="602" t="s">
        <v>689</v>
      </c>
      <c r="C47" s="603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00" t="s">
        <v>690</v>
      </c>
      <c r="C48" s="601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863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871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12" t="s">
        <v>705</v>
      </c>
      <c r="C51" s="613"/>
      <c r="D51" s="66">
        <f aca="true" t="shared" si="6" ref="D51:I51">D46-D47-D48-D49-D50</f>
        <v>108496.81</v>
      </c>
      <c r="E51" s="66">
        <f t="shared" si="6"/>
        <v>105761.4</v>
      </c>
      <c r="F51" s="66">
        <f t="shared" si="6"/>
        <v>114174.53999999998</v>
      </c>
      <c r="G51" s="66">
        <f t="shared" si="6"/>
        <v>0</v>
      </c>
      <c r="H51" s="66">
        <f t="shared" si="6"/>
        <v>328432.75</v>
      </c>
      <c r="I51" s="67">
        <f t="shared" si="6"/>
        <v>296193.79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14">
      <selection activeCell="A127" sqref="A127:IV187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2"/>
      <c r="B2" s="634" t="s">
        <v>63</v>
      </c>
      <c r="C2" s="529" t="str">
        <f>COMANDOBLOQUEADO!S19</f>
        <v>CARDOSO</v>
      </c>
      <c r="D2" s="666"/>
      <c r="E2" s="666"/>
      <c r="F2" s="529"/>
      <c r="G2" s="529"/>
      <c r="H2" s="529"/>
      <c r="I2" s="634" t="s">
        <v>59</v>
      </c>
      <c r="J2" s="529" t="str">
        <f>IF(COMANDOBLOQUEADO!U6="1º TRIMESTRE","1º TRIMESTRE","1º TRIMESTRE")</f>
        <v>1º TRIMESTRE</v>
      </c>
      <c r="K2" s="529" t="str">
        <f>COMANDOBLOQUEADO!Y6</f>
        <v>2005</v>
      </c>
      <c r="L2" s="529"/>
    </row>
    <row r="3" spans="1:12" ht="9" customHeight="1">
      <c r="A3" s="632"/>
      <c r="B3" s="634"/>
      <c r="C3" s="529"/>
      <c r="D3" s="666"/>
      <c r="E3" s="666"/>
      <c r="F3" s="529"/>
      <c r="G3" s="529"/>
      <c r="H3" s="529"/>
      <c r="I3" s="666"/>
      <c r="J3" s="529"/>
      <c r="K3" s="529"/>
      <c r="L3" s="529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29"/>
    </row>
    <row r="5" spans="1:12" ht="9.75" customHeight="1">
      <c r="A5" s="68"/>
      <c r="B5" s="665" t="s">
        <v>911</v>
      </c>
      <c r="C5" s="666"/>
      <c r="D5" s="666"/>
      <c r="E5" s="666"/>
      <c r="F5" s="666"/>
      <c r="G5" s="666"/>
      <c r="H5" s="666"/>
      <c r="I5" s="592"/>
      <c r="J5" s="592"/>
      <c r="K5" s="592"/>
      <c r="L5" s="529"/>
    </row>
    <row r="6" spans="1:12" ht="9.75" customHeight="1">
      <c r="A6" s="68"/>
      <c r="B6" s="666"/>
      <c r="C6" s="666"/>
      <c r="D6" s="666"/>
      <c r="E6" s="666"/>
      <c r="F6" s="666"/>
      <c r="G6" s="666"/>
      <c r="H6" s="666"/>
      <c r="I6" s="592"/>
      <c r="J6" s="592"/>
      <c r="K6" s="592"/>
      <c r="L6" s="529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29"/>
    </row>
    <row r="8" spans="1:12" ht="18.75">
      <c r="A8" s="86"/>
      <c r="B8" s="99" t="s">
        <v>885</v>
      </c>
      <c r="C8" s="320" t="s">
        <v>881</v>
      </c>
      <c r="D8" s="139"/>
      <c r="E8" s="139"/>
      <c r="F8" s="139"/>
      <c r="G8" s="140"/>
      <c r="H8" s="140"/>
      <c r="I8" s="141"/>
      <c r="J8" s="141"/>
      <c r="K8" s="142"/>
      <c r="L8" s="529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29"/>
    </row>
    <row r="10" spans="1:11" ht="13.5" customHeight="1">
      <c r="A10" s="74"/>
      <c r="B10" s="657" t="s">
        <v>726</v>
      </c>
      <c r="C10" s="660" t="s">
        <v>874</v>
      </c>
      <c r="D10" s="642" t="s">
        <v>752</v>
      </c>
      <c r="E10" s="667" t="s">
        <v>749</v>
      </c>
      <c r="F10" s="660" t="s">
        <v>877</v>
      </c>
      <c r="G10" s="642" t="s">
        <v>751</v>
      </c>
      <c r="H10" s="667" t="s">
        <v>749</v>
      </c>
      <c r="I10" s="660" t="s">
        <v>878</v>
      </c>
      <c r="J10" s="642" t="s">
        <v>753</v>
      </c>
      <c r="K10" s="667" t="s">
        <v>749</v>
      </c>
    </row>
    <row r="11" spans="1:11" ht="13.5" customHeight="1">
      <c r="A11" s="53"/>
      <c r="B11" s="658"/>
      <c r="C11" s="661"/>
      <c r="D11" s="663"/>
      <c r="E11" s="668"/>
      <c r="F11" s="661"/>
      <c r="G11" s="663"/>
      <c r="H11" s="668"/>
      <c r="I11" s="661"/>
      <c r="J11" s="663"/>
      <c r="K11" s="668"/>
    </row>
    <row r="12" spans="1:11" ht="13.5" customHeight="1">
      <c r="A12" s="53"/>
      <c r="B12" s="658"/>
      <c r="C12" s="661"/>
      <c r="D12" s="663"/>
      <c r="E12" s="668"/>
      <c r="F12" s="661"/>
      <c r="G12" s="663"/>
      <c r="H12" s="668"/>
      <c r="I12" s="661"/>
      <c r="J12" s="663"/>
      <c r="K12" s="668"/>
    </row>
    <row r="13" spans="1:11" ht="13.5" customHeight="1">
      <c r="A13" s="53"/>
      <c r="B13" s="658"/>
      <c r="C13" s="661"/>
      <c r="D13" s="663"/>
      <c r="E13" s="668"/>
      <c r="F13" s="661"/>
      <c r="G13" s="663"/>
      <c r="H13" s="668"/>
      <c r="I13" s="661"/>
      <c r="J13" s="663"/>
      <c r="K13" s="668"/>
    </row>
    <row r="14" spans="1:11" ht="13.5" customHeight="1" thickBot="1">
      <c r="A14" s="53"/>
      <c r="B14" s="659"/>
      <c r="C14" s="662"/>
      <c r="D14" s="664"/>
      <c r="E14" s="669"/>
      <c r="F14" s="662"/>
      <c r="G14" s="664"/>
      <c r="H14" s="669"/>
      <c r="I14" s="662"/>
      <c r="J14" s="664"/>
      <c r="K14" s="669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2" t="s">
        <v>876</v>
      </c>
      <c r="C16" s="675">
        <v>3827.08</v>
      </c>
      <c r="D16" s="678">
        <v>4100</v>
      </c>
      <c r="E16" s="670">
        <f>D16-C16</f>
        <v>272.9200000000001</v>
      </c>
      <c r="F16" s="675">
        <v>14960.82</v>
      </c>
      <c r="G16" s="678">
        <v>15300</v>
      </c>
      <c r="H16" s="670">
        <f>G16-F16</f>
        <v>339.1800000000003</v>
      </c>
      <c r="I16" s="675">
        <v>8981.83</v>
      </c>
      <c r="J16" s="678">
        <v>9341.1</v>
      </c>
      <c r="K16" s="670">
        <f>J16-I16</f>
        <v>359.27000000000044</v>
      </c>
    </row>
    <row r="17" spans="1:11" ht="15" customHeight="1">
      <c r="A17" s="74"/>
      <c r="B17" s="673"/>
      <c r="C17" s="676"/>
      <c r="D17" s="679"/>
      <c r="E17" s="668"/>
      <c r="F17" s="676"/>
      <c r="G17" s="679"/>
      <c r="H17" s="668"/>
      <c r="I17" s="676"/>
      <c r="J17" s="679"/>
      <c r="K17" s="668"/>
    </row>
    <row r="18" spans="1:11" ht="15" customHeight="1">
      <c r="A18" s="53"/>
      <c r="B18" s="674"/>
      <c r="C18" s="677"/>
      <c r="D18" s="680"/>
      <c r="E18" s="671"/>
      <c r="F18" s="677"/>
      <c r="G18" s="680"/>
      <c r="H18" s="671"/>
      <c r="I18" s="677"/>
      <c r="J18" s="680"/>
      <c r="K18" s="671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2" t="s">
        <v>875</v>
      </c>
      <c r="C20" s="675">
        <v>24768.44</v>
      </c>
      <c r="D20" s="678">
        <v>28000</v>
      </c>
      <c r="E20" s="670">
        <f>D20-C20</f>
        <v>3231.5600000000013</v>
      </c>
      <c r="F20" s="675">
        <v>28040.28</v>
      </c>
      <c r="G20" s="678">
        <v>30000</v>
      </c>
      <c r="H20" s="670">
        <f>G20-F20</f>
        <v>1959.7200000000012</v>
      </c>
      <c r="I20" s="675">
        <v>16883.38</v>
      </c>
      <c r="J20" s="678">
        <v>18571.69</v>
      </c>
      <c r="K20" s="670">
        <f>J20-I20</f>
        <v>1688.3099999999977</v>
      </c>
    </row>
    <row r="21" spans="1:11" ht="12" customHeight="1">
      <c r="A21" s="53"/>
      <c r="B21" s="673"/>
      <c r="C21" s="676"/>
      <c r="D21" s="679"/>
      <c r="E21" s="668"/>
      <c r="F21" s="676"/>
      <c r="G21" s="679"/>
      <c r="H21" s="668"/>
      <c r="I21" s="676"/>
      <c r="J21" s="679"/>
      <c r="K21" s="668"/>
    </row>
    <row r="22" spans="1:11" ht="12" customHeight="1">
      <c r="A22" s="53"/>
      <c r="B22" s="674"/>
      <c r="C22" s="677"/>
      <c r="D22" s="680"/>
      <c r="E22" s="671"/>
      <c r="F22" s="677"/>
      <c r="G22" s="680"/>
      <c r="H22" s="671"/>
      <c r="I22" s="677"/>
      <c r="J22" s="680"/>
      <c r="K22" s="671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750</v>
      </c>
      <c r="C24" s="155">
        <f>C16+C20</f>
        <v>28595.519999999997</v>
      </c>
      <c r="D24" s="63">
        <f aca="true" t="shared" si="0" ref="D24:K24">D16+D20</f>
        <v>32100</v>
      </c>
      <c r="E24" s="157">
        <f t="shared" si="0"/>
        <v>3504.4800000000014</v>
      </c>
      <c r="F24" s="155">
        <f t="shared" si="0"/>
        <v>43001.1</v>
      </c>
      <c r="G24" s="63">
        <f t="shared" si="0"/>
        <v>45300</v>
      </c>
      <c r="H24" s="157">
        <f t="shared" si="0"/>
        <v>2298.9000000000015</v>
      </c>
      <c r="I24" s="155">
        <f t="shared" si="0"/>
        <v>25865.21</v>
      </c>
      <c r="J24" s="63">
        <f t="shared" si="0"/>
        <v>27912.79</v>
      </c>
      <c r="K24" s="64">
        <f t="shared" si="0"/>
        <v>2047.579999999998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886</v>
      </c>
      <c r="C27" s="320" t="s">
        <v>882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7" t="s">
        <v>726</v>
      </c>
      <c r="C29" s="660" t="s">
        <v>874</v>
      </c>
      <c r="D29" s="642" t="s">
        <v>752</v>
      </c>
      <c r="E29" s="667" t="s">
        <v>749</v>
      </c>
      <c r="F29" s="660" t="s">
        <v>877</v>
      </c>
      <c r="G29" s="642" t="s">
        <v>751</v>
      </c>
      <c r="H29" s="667" t="s">
        <v>749</v>
      </c>
      <c r="I29" s="660" t="s">
        <v>878</v>
      </c>
      <c r="J29" s="642" t="s">
        <v>753</v>
      </c>
      <c r="K29" s="667" t="s">
        <v>749</v>
      </c>
    </row>
    <row r="30" spans="1:11" ht="13.5" customHeight="1">
      <c r="A30" s="30"/>
      <c r="B30" s="658"/>
      <c r="C30" s="661"/>
      <c r="D30" s="663"/>
      <c r="E30" s="668"/>
      <c r="F30" s="661"/>
      <c r="G30" s="663"/>
      <c r="H30" s="668"/>
      <c r="I30" s="661"/>
      <c r="J30" s="663"/>
      <c r="K30" s="668"/>
    </row>
    <row r="31" spans="1:11" ht="13.5" customHeight="1">
      <c r="A31" s="30"/>
      <c r="B31" s="658"/>
      <c r="C31" s="661"/>
      <c r="D31" s="663"/>
      <c r="E31" s="668"/>
      <c r="F31" s="661"/>
      <c r="G31" s="663"/>
      <c r="H31" s="668"/>
      <c r="I31" s="661"/>
      <c r="J31" s="663"/>
      <c r="K31" s="668"/>
    </row>
    <row r="32" spans="1:11" ht="13.5" customHeight="1">
      <c r="A32" s="30"/>
      <c r="B32" s="658"/>
      <c r="C32" s="661"/>
      <c r="D32" s="663"/>
      <c r="E32" s="668"/>
      <c r="F32" s="661"/>
      <c r="G32" s="663"/>
      <c r="H32" s="668"/>
      <c r="I32" s="661"/>
      <c r="J32" s="663"/>
      <c r="K32" s="668"/>
    </row>
    <row r="33" spans="1:11" ht="13.5" customHeight="1" thickBot="1">
      <c r="A33" s="30"/>
      <c r="B33" s="659"/>
      <c r="C33" s="662"/>
      <c r="D33" s="664"/>
      <c r="E33" s="669"/>
      <c r="F33" s="662"/>
      <c r="G33" s="664"/>
      <c r="H33" s="669"/>
      <c r="I33" s="662"/>
      <c r="J33" s="664"/>
      <c r="K33" s="669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2" t="s">
        <v>876</v>
      </c>
      <c r="C35" s="675">
        <v>7575.49</v>
      </c>
      <c r="D35" s="678">
        <v>7878.5</v>
      </c>
      <c r="E35" s="670">
        <f>D35-C35</f>
        <v>303.0100000000002</v>
      </c>
      <c r="F35" s="675">
        <v>9478.32</v>
      </c>
      <c r="G35" s="678">
        <v>9857.44</v>
      </c>
      <c r="H35" s="670">
        <f>G35-F35</f>
        <v>379.1200000000008</v>
      </c>
      <c r="I35" s="675">
        <v>8961.9</v>
      </c>
      <c r="J35" s="678">
        <v>9097.93</v>
      </c>
      <c r="K35" s="670">
        <f>J35-I35</f>
        <v>136.03000000000065</v>
      </c>
    </row>
    <row r="36" spans="1:11" ht="15" customHeight="1">
      <c r="A36" s="30"/>
      <c r="B36" s="673"/>
      <c r="C36" s="676"/>
      <c r="D36" s="679"/>
      <c r="E36" s="668"/>
      <c r="F36" s="676"/>
      <c r="G36" s="679"/>
      <c r="H36" s="668"/>
      <c r="I36" s="676"/>
      <c r="J36" s="679"/>
      <c r="K36" s="668"/>
    </row>
    <row r="37" spans="1:11" ht="15" customHeight="1">
      <c r="A37" s="30"/>
      <c r="B37" s="674"/>
      <c r="C37" s="677"/>
      <c r="D37" s="680"/>
      <c r="E37" s="671"/>
      <c r="F37" s="677"/>
      <c r="G37" s="680"/>
      <c r="H37" s="671"/>
      <c r="I37" s="677"/>
      <c r="J37" s="680"/>
      <c r="K37" s="671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2" t="s">
        <v>875</v>
      </c>
      <c r="C39" s="675">
        <v>37952.2</v>
      </c>
      <c r="D39" s="678">
        <v>41747.39</v>
      </c>
      <c r="E39" s="670">
        <f>D39-C39</f>
        <v>3795.1900000000023</v>
      </c>
      <c r="F39" s="675">
        <v>7841.23</v>
      </c>
      <c r="G39" s="678">
        <v>8625.32</v>
      </c>
      <c r="H39" s="670">
        <f>G39-F39</f>
        <v>784.0900000000001</v>
      </c>
      <c r="I39" s="675">
        <v>14296.89</v>
      </c>
      <c r="J39" s="678">
        <v>15726.54</v>
      </c>
      <c r="K39" s="670">
        <f>J39-I39</f>
        <v>1429.6500000000015</v>
      </c>
    </row>
    <row r="40" spans="1:11" ht="12" customHeight="1">
      <c r="A40" s="30"/>
      <c r="B40" s="673"/>
      <c r="C40" s="676"/>
      <c r="D40" s="679"/>
      <c r="E40" s="668"/>
      <c r="F40" s="676"/>
      <c r="G40" s="679"/>
      <c r="H40" s="668"/>
      <c r="I40" s="676"/>
      <c r="J40" s="679"/>
      <c r="K40" s="668"/>
    </row>
    <row r="41" spans="1:11" ht="12" customHeight="1">
      <c r="A41" s="30"/>
      <c r="B41" s="674"/>
      <c r="C41" s="677"/>
      <c r="D41" s="680"/>
      <c r="E41" s="671"/>
      <c r="F41" s="677"/>
      <c r="G41" s="680"/>
      <c r="H41" s="671"/>
      <c r="I41" s="677"/>
      <c r="J41" s="680"/>
      <c r="K41" s="671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750</v>
      </c>
      <c r="C43" s="155">
        <f>C35+C39</f>
        <v>45527.689999999995</v>
      </c>
      <c r="D43" s="63">
        <f aca="true" t="shared" si="1" ref="D43:K43">D35+D39</f>
        <v>49625.89</v>
      </c>
      <c r="E43" s="64">
        <f t="shared" si="1"/>
        <v>4098.200000000003</v>
      </c>
      <c r="F43" s="155">
        <f t="shared" si="1"/>
        <v>17319.55</v>
      </c>
      <c r="G43" s="63">
        <f t="shared" si="1"/>
        <v>18482.760000000002</v>
      </c>
      <c r="H43" s="64">
        <f t="shared" si="1"/>
        <v>1163.210000000001</v>
      </c>
      <c r="I43" s="155">
        <f t="shared" si="1"/>
        <v>23258.79</v>
      </c>
      <c r="J43" s="63">
        <f t="shared" si="1"/>
        <v>24824.47</v>
      </c>
      <c r="K43" s="64">
        <f t="shared" si="1"/>
        <v>1565.680000000002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887</v>
      </c>
      <c r="C46" s="320" t="s">
        <v>883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7" t="s">
        <v>726</v>
      </c>
      <c r="C48" s="660" t="s">
        <v>874</v>
      </c>
      <c r="D48" s="642" t="s">
        <v>752</v>
      </c>
      <c r="E48" s="667" t="s">
        <v>749</v>
      </c>
      <c r="F48" s="660" t="s">
        <v>877</v>
      </c>
      <c r="G48" s="642" t="s">
        <v>751</v>
      </c>
      <c r="H48" s="667" t="s">
        <v>749</v>
      </c>
      <c r="I48" s="660" t="s">
        <v>878</v>
      </c>
      <c r="J48" s="642" t="s">
        <v>753</v>
      </c>
      <c r="K48" s="667" t="s">
        <v>749</v>
      </c>
    </row>
    <row r="49" spans="1:11" ht="13.5" customHeight="1">
      <c r="A49" s="30"/>
      <c r="B49" s="658"/>
      <c r="C49" s="661"/>
      <c r="D49" s="663"/>
      <c r="E49" s="668"/>
      <c r="F49" s="661"/>
      <c r="G49" s="663"/>
      <c r="H49" s="668"/>
      <c r="I49" s="661"/>
      <c r="J49" s="663"/>
      <c r="K49" s="668"/>
    </row>
    <row r="50" spans="1:11" ht="13.5" customHeight="1">
      <c r="A50" s="30"/>
      <c r="B50" s="658"/>
      <c r="C50" s="661"/>
      <c r="D50" s="663"/>
      <c r="E50" s="668"/>
      <c r="F50" s="661"/>
      <c r="G50" s="663"/>
      <c r="H50" s="668"/>
      <c r="I50" s="661"/>
      <c r="J50" s="663"/>
      <c r="K50" s="668"/>
    </row>
    <row r="51" spans="1:11" ht="13.5" customHeight="1">
      <c r="A51" s="30"/>
      <c r="B51" s="658"/>
      <c r="C51" s="661"/>
      <c r="D51" s="663"/>
      <c r="E51" s="668"/>
      <c r="F51" s="661"/>
      <c r="G51" s="663"/>
      <c r="H51" s="668"/>
      <c r="I51" s="661"/>
      <c r="J51" s="663"/>
      <c r="K51" s="668"/>
    </row>
    <row r="52" spans="1:11" ht="13.5" customHeight="1" thickBot="1">
      <c r="A52" s="30"/>
      <c r="B52" s="659"/>
      <c r="C52" s="662"/>
      <c r="D52" s="664"/>
      <c r="E52" s="669"/>
      <c r="F52" s="662"/>
      <c r="G52" s="664"/>
      <c r="H52" s="669"/>
      <c r="I52" s="662"/>
      <c r="J52" s="664"/>
      <c r="K52" s="669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2" t="s">
        <v>876</v>
      </c>
      <c r="C54" s="675">
        <v>16680.4</v>
      </c>
      <c r="D54" s="678">
        <v>17347.61</v>
      </c>
      <c r="E54" s="670">
        <f>D54-C54</f>
        <v>667.2099999999991</v>
      </c>
      <c r="F54" s="675">
        <v>12436.88</v>
      </c>
      <c r="G54" s="678">
        <v>12934.35</v>
      </c>
      <c r="H54" s="670">
        <f>G54-F54</f>
        <v>497.47000000000116</v>
      </c>
      <c r="I54" s="675">
        <v>25326.74</v>
      </c>
      <c r="J54" s="678">
        <v>26040.73</v>
      </c>
      <c r="K54" s="670">
        <f>J54-I54</f>
        <v>713.989999999998</v>
      </c>
    </row>
    <row r="55" spans="1:11" ht="15" customHeight="1">
      <c r="A55" s="30"/>
      <c r="B55" s="673"/>
      <c r="C55" s="676"/>
      <c r="D55" s="679"/>
      <c r="E55" s="668"/>
      <c r="F55" s="676"/>
      <c r="G55" s="679"/>
      <c r="H55" s="668"/>
      <c r="I55" s="676"/>
      <c r="J55" s="679"/>
      <c r="K55" s="668"/>
    </row>
    <row r="56" spans="1:11" ht="15" customHeight="1">
      <c r="A56" s="30"/>
      <c r="B56" s="674"/>
      <c r="C56" s="677"/>
      <c r="D56" s="680"/>
      <c r="E56" s="671"/>
      <c r="F56" s="677"/>
      <c r="G56" s="680"/>
      <c r="H56" s="671"/>
      <c r="I56" s="677"/>
      <c r="J56" s="680"/>
      <c r="K56" s="671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2" t="s">
        <v>875</v>
      </c>
      <c r="C58" s="675">
        <v>37402.03</v>
      </c>
      <c r="D58" s="678">
        <v>41142.19</v>
      </c>
      <c r="E58" s="670">
        <f>D58-C58</f>
        <v>3740.1600000000035</v>
      </c>
      <c r="F58" s="675">
        <v>12982.21</v>
      </c>
      <c r="G58" s="678">
        <v>14280.4</v>
      </c>
      <c r="H58" s="670">
        <f>G58-F58</f>
        <v>1298.1900000000005</v>
      </c>
      <c r="I58" s="675">
        <v>15961.21</v>
      </c>
      <c r="J58" s="678">
        <v>17557.28</v>
      </c>
      <c r="K58" s="670">
        <f>J58-I58</f>
        <v>1596.0699999999997</v>
      </c>
    </row>
    <row r="59" spans="1:11" ht="12" customHeight="1">
      <c r="A59" s="30"/>
      <c r="B59" s="673"/>
      <c r="C59" s="676"/>
      <c r="D59" s="679"/>
      <c r="E59" s="668"/>
      <c r="F59" s="676"/>
      <c r="G59" s="679"/>
      <c r="H59" s="668"/>
      <c r="I59" s="676"/>
      <c r="J59" s="679"/>
      <c r="K59" s="668"/>
    </row>
    <row r="60" spans="1:11" ht="12" customHeight="1">
      <c r="A60" s="30"/>
      <c r="B60" s="674"/>
      <c r="C60" s="677"/>
      <c r="D60" s="680"/>
      <c r="E60" s="671"/>
      <c r="F60" s="677"/>
      <c r="G60" s="680"/>
      <c r="H60" s="671"/>
      <c r="I60" s="677"/>
      <c r="J60" s="680"/>
      <c r="K60" s="671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750</v>
      </c>
      <c r="C62" s="155">
        <f>C54+C58</f>
        <v>54082.43</v>
      </c>
      <c r="D62" s="63">
        <f aca="true" t="shared" si="2" ref="D62:K62">D54+D58</f>
        <v>58489.8</v>
      </c>
      <c r="E62" s="64">
        <f t="shared" si="2"/>
        <v>4407.370000000003</v>
      </c>
      <c r="F62" s="155">
        <f t="shared" si="2"/>
        <v>25419.089999999997</v>
      </c>
      <c r="G62" s="63">
        <f t="shared" si="2"/>
        <v>27214.75</v>
      </c>
      <c r="H62" s="64">
        <f t="shared" si="2"/>
        <v>1795.6600000000017</v>
      </c>
      <c r="I62" s="155">
        <f t="shared" si="2"/>
        <v>41287.95</v>
      </c>
      <c r="J62" s="63">
        <f t="shared" si="2"/>
        <v>43598.009999999995</v>
      </c>
      <c r="K62" s="64">
        <f t="shared" si="2"/>
        <v>2310.0599999999977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4" t="s">
        <v>63</v>
      </c>
      <c r="C66" s="529" t="str">
        <f>COMANDOBLOQUEADO!S19</f>
        <v>CARDOSO</v>
      </c>
      <c r="D66" s="610"/>
      <c r="E66" s="610"/>
      <c r="F66" s="22"/>
      <c r="G66" s="22"/>
      <c r="H66" s="22"/>
      <c r="I66" s="216" t="s">
        <v>59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2005</v>
      </c>
    </row>
    <row r="67" spans="1:11" ht="12" customHeight="1">
      <c r="A67" s="30"/>
      <c r="B67" s="634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5" t="s">
        <v>748</v>
      </c>
      <c r="C68" s="666"/>
      <c r="D68" s="666"/>
      <c r="E68" s="666"/>
      <c r="F68" s="666"/>
      <c r="G68" s="666"/>
      <c r="H68" s="666"/>
      <c r="I68" s="592"/>
      <c r="J68" s="592"/>
      <c r="K68" s="592"/>
    </row>
    <row r="69" spans="1:11" ht="9" customHeight="1">
      <c r="A69" s="30"/>
      <c r="B69" s="666"/>
      <c r="C69" s="666"/>
      <c r="D69" s="666"/>
      <c r="E69" s="666"/>
      <c r="F69" s="666"/>
      <c r="G69" s="666"/>
      <c r="H69" s="666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898</v>
      </c>
      <c r="C71" s="320" t="s">
        <v>884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7" t="s">
        <v>726</v>
      </c>
      <c r="C73" s="660" t="s">
        <v>874</v>
      </c>
      <c r="D73" s="642" t="s">
        <v>752</v>
      </c>
      <c r="E73" s="667" t="s">
        <v>749</v>
      </c>
      <c r="F73" s="660" t="s">
        <v>877</v>
      </c>
      <c r="G73" s="642" t="s">
        <v>751</v>
      </c>
      <c r="H73" s="667" t="s">
        <v>749</v>
      </c>
      <c r="I73" s="660" t="s">
        <v>878</v>
      </c>
      <c r="J73" s="642" t="s">
        <v>753</v>
      </c>
      <c r="K73" s="667" t="s">
        <v>749</v>
      </c>
    </row>
    <row r="74" spans="2:11" ht="13.5" customHeight="1">
      <c r="B74" s="658"/>
      <c r="C74" s="661"/>
      <c r="D74" s="663"/>
      <c r="E74" s="668"/>
      <c r="F74" s="661"/>
      <c r="G74" s="663"/>
      <c r="H74" s="668"/>
      <c r="I74" s="661"/>
      <c r="J74" s="663"/>
      <c r="K74" s="668"/>
    </row>
    <row r="75" spans="2:11" ht="13.5" customHeight="1">
      <c r="B75" s="658"/>
      <c r="C75" s="661"/>
      <c r="D75" s="663"/>
      <c r="E75" s="668"/>
      <c r="F75" s="661"/>
      <c r="G75" s="663"/>
      <c r="H75" s="668"/>
      <c r="I75" s="661"/>
      <c r="J75" s="663"/>
      <c r="K75" s="668"/>
    </row>
    <row r="76" spans="2:11" ht="13.5" customHeight="1">
      <c r="B76" s="658"/>
      <c r="C76" s="661"/>
      <c r="D76" s="663"/>
      <c r="E76" s="668"/>
      <c r="F76" s="661"/>
      <c r="G76" s="663"/>
      <c r="H76" s="668"/>
      <c r="I76" s="661"/>
      <c r="J76" s="663"/>
      <c r="K76" s="668"/>
    </row>
    <row r="77" spans="2:11" ht="13.5" customHeight="1" thickBot="1">
      <c r="B77" s="659"/>
      <c r="C77" s="662"/>
      <c r="D77" s="664"/>
      <c r="E77" s="669"/>
      <c r="F77" s="662"/>
      <c r="G77" s="664"/>
      <c r="H77" s="669"/>
      <c r="I77" s="662"/>
      <c r="J77" s="664"/>
      <c r="K77" s="669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2" t="s">
        <v>876</v>
      </c>
      <c r="C79" s="675">
        <v>6568.03</v>
      </c>
      <c r="D79" s="678">
        <v>6830.74</v>
      </c>
      <c r="E79" s="670">
        <f>D79-C79</f>
        <v>262.71000000000004</v>
      </c>
      <c r="F79" s="675">
        <v>9185.15</v>
      </c>
      <c r="G79" s="678">
        <v>9502.82</v>
      </c>
      <c r="H79" s="670">
        <f>G79-F79</f>
        <v>317.6700000000001</v>
      </c>
      <c r="I79" s="675">
        <v>7241.92</v>
      </c>
      <c r="J79" s="678">
        <v>7531.59</v>
      </c>
      <c r="K79" s="670">
        <f>J79-I79</f>
        <v>289.6700000000001</v>
      </c>
    </row>
    <row r="80" spans="2:11" ht="15" customHeight="1">
      <c r="B80" s="673"/>
      <c r="C80" s="676"/>
      <c r="D80" s="679"/>
      <c r="E80" s="668"/>
      <c r="F80" s="676"/>
      <c r="G80" s="679"/>
      <c r="H80" s="668"/>
      <c r="I80" s="676"/>
      <c r="J80" s="679"/>
      <c r="K80" s="668"/>
    </row>
    <row r="81" spans="2:11" ht="15" customHeight="1">
      <c r="B81" s="674"/>
      <c r="C81" s="677"/>
      <c r="D81" s="680"/>
      <c r="E81" s="671"/>
      <c r="F81" s="677"/>
      <c r="G81" s="680"/>
      <c r="H81" s="671"/>
      <c r="I81" s="677"/>
      <c r="J81" s="680"/>
      <c r="K81" s="671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2" t="s">
        <v>875</v>
      </c>
      <c r="C83" s="675">
        <v>23016.14</v>
      </c>
      <c r="D83" s="678">
        <v>25317.73</v>
      </c>
      <c r="E83" s="670">
        <f>D83-C83</f>
        <v>2301.59</v>
      </c>
      <c r="F83" s="675">
        <v>25994.03</v>
      </c>
      <c r="G83" s="678">
        <v>28593.39</v>
      </c>
      <c r="H83" s="670">
        <f>G83-F83</f>
        <v>2599.3600000000006</v>
      </c>
      <c r="I83" s="675">
        <v>17151.21</v>
      </c>
      <c r="J83" s="678">
        <v>44593.06</v>
      </c>
      <c r="K83" s="670">
        <f>J83-I83</f>
        <v>27441.85</v>
      </c>
    </row>
    <row r="84" spans="2:11" ht="12" customHeight="1">
      <c r="B84" s="673"/>
      <c r="C84" s="676"/>
      <c r="D84" s="679"/>
      <c r="E84" s="668"/>
      <c r="F84" s="676"/>
      <c r="G84" s="679"/>
      <c r="H84" s="668"/>
      <c r="I84" s="676"/>
      <c r="J84" s="679"/>
      <c r="K84" s="668"/>
    </row>
    <row r="85" spans="2:11" ht="12" customHeight="1">
      <c r="B85" s="674"/>
      <c r="C85" s="677"/>
      <c r="D85" s="680"/>
      <c r="E85" s="671"/>
      <c r="F85" s="677"/>
      <c r="G85" s="680"/>
      <c r="H85" s="671"/>
      <c r="I85" s="677"/>
      <c r="J85" s="680"/>
      <c r="K85" s="671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750</v>
      </c>
      <c r="C87" s="155">
        <f>C79+C83</f>
        <v>29584.17</v>
      </c>
      <c r="D87" s="63">
        <f aca="true" t="shared" si="3" ref="D87:K87">D79+D83</f>
        <v>32148.47</v>
      </c>
      <c r="E87" s="157">
        <f t="shared" si="3"/>
        <v>2564.3</v>
      </c>
      <c r="F87" s="155">
        <f t="shared" si="3"/>
        <v>35179.18</v>
      </c>
      <c r="G87" s="63">
        <f t="shared" si="3"/>
        <v>38096.21</v>
      </c>
      <c r="H87" s="157">
        <f t="shared" si="3"/>
        <v>2917.0300000000007</v>
      </c>
      <c r="I87" s="155">
        <f t="shared" si="3"/>
        <v>24393.129999999997</v>
      </c>
      <c r="J87" s="63">
        <f t="shared" si="3"/>
        <v>52124.649999999994</v>
      </c>
      <c r="K87" s="64">
        <f t="shared" si="3"/>
        <v>27731.519999999997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888</v>
      </c>
      <c r="C90" s="320" t="s">
        <v>889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7" t="s">
        <v>726</v>
      </c>
      <c r="C92" s="660" t="s">
        <v>874</v>
      </c>
      <c r="D92" s="642" t="s">
        <v>752</v>
      </c>
      <c r="E92" s="667" t="s">
        <v>749</v>
      </c>
      <c r="F92" s="660" t="s">
        <v>877</v>
      </c>
      <c r="G92" s="642" t="s">
        <v>751</v>
      </c>
      <c r="H92" s="667" t="s">
        <v>749</v>
      </c>
      <c r="I92" s="660" t="s">
        <v>878</v>
      </c>
      <c r="J92" s="642" t="s">
        <v>753</v>
      </c>
      <c r="K92" s="667" t="s">
        <v>749</v>
      </c>
    </row>
    <row r="93" spans="2:11" ht="13.5" customHeight="1">
      <c r="B93" s="658"/>
      <c r="C93" s="661"/>
      <c r="D93" s="663"/>
      <c r="E93" s="668"/>
      <c r="F93" s="661"/>
      <c r="G93" s="663"/>
      <c r="H93" s="668"/>
      <c r="I93" s="661"/>
      <c r="J93" s="663"/>
      <c r="K93" s="668"/>
    </row>
    <row r="94" spans="2:11" ht="13.5" customHeight="1">
      <c r="B94" s="658"/>
      <c r="C94" s="661"/>
      <c r="D94" s="663"/>
      <c r="E94" s="668"/>
      <c r="F94" s="661"/>
      <c r="G94" s="663"/>
      <c r="H94" s="668"/>
      <c r="I94" s="661"/>
      <c r="J94" s="663"/>
      <c r="K94" s="668"/>
    </row>
    <row r="95" spans="2:11" ht="13.5" customHeight="1">
      <c r="B95" s="658"/>
      <c r="C95" s="661"/>
      <c r="D95" s="663"/>
      <c r="E95" s="668"/>
      <c r="F95" s="661"/>
      <c r="G95" s="663"/>
      <c r="H95" s="668"/>
      <c r="I95" s="661"/>
      <c r="J95" s="663"/>
      <c r="K95" s="668"/>
    </row>
    <row r="96" spans="2:11" ht="13.5" customHeight="1" thickBot="1">
      <c r="B96" s="659"/>
      <c r="C96" s="662"/>
      <c r="D96" s="664"/>
      <c r="E96" s="669"/>
      <c r="F96" s="662"/>
      <c r="G96" s="664"/>
      <c r="H96" s="669"/>
      <c r="I96" s="662"/>
      <c r="J96" s="664"/>
      <c r="K96" s="669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2" t="s">
        <v>876</v>
      </c>
      <c r="C98" s="675">
        <v>4901.58</v>
      </c>
      <c r="D98" s="678">
        <v>5097.64</v>
      </c>
      <c r="E98" s="670">
        <f>D98-C98</f>
        <v>196.0600000000004</v>
      </c>
      <c r="F98" s="675">
        <v>5590.54</v>
      </c>
      <c r="G98" s="678">
        <v>5814.16</v>
      </c>
      <c r="H98" s="670">
        <f>G98-F98</f>
        <v>223.6199999999999</v>
      </c>
      <c r="I98" s="675">
        <v>3732.23</v>
      </c>
      <c r="J98" s="678">
        <v>3881.51</v>
      </c>
      <c r="K98" s="670">
        <f>J98-I98</f>
        <v>149.2800000000002</v>
      </c>
    </row>
    <row r="99" spans="2:11" ht="15" customHeight="1">
      <c r="B99" s="673"/>
      <c r="C99" s="676"/>
      <c r="D99" s="679"/>
      <c r="E99" s="668"/>
      <c r="F99" s="676"/>
      <c r="G99" s="679"/>
      <c r="H99" s="668"/>
      <c r="I99" s="676"/>
      <c r="J99" s="679"/>
      <c r="K99" s="668"/>
    </row>
    <row r="100" spans="2:11" ht="15" customHeight="1">
      <c r="B100" s="674"/>
      <c r="C100" s="677"/>
      <c r="D100" s="680"/>
      <c r="E100" s="671"/>
      <c r="F100" s="677"/>
      <c r="G100" s="680"/>
      <c r="H100" s="671"/>
      <c r="I100" s="677"/>
      <c r="J100" s="680"/>
      <c r="K100" s="671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2" t="s">
        <v>875</v>
      </c>
      <c r="C102" s="675">
        <v>42765.44</v>
      </c>
      <c r="D102" s="678">
        <v>47041.96</v>
      </c>
      <c r="E102" s="670">
        <f>D102-C102</f>
        <v>4276.519999999997</v>
      </c>
      <c r="F102" s="675">
        <v>11112.1</v>
      </c>
      <c r="G102" s="678">
        <v>12223.29</v>
      </c>
      <c r="H102" s="670">
        <f>G102-F102</f>
        <v>1111.1900000000005</v>
      </c>
      <c r="I102" s="675">
        <v>21277.43</v>
      </c>
      <c r="J102" s="678">
        <v>23404.81</v>
      </c>
      <c r="K102" s="670">
        <f>J102-I102</f>
        <v>2127.380000000001</v>
      </c>
    </row>
    <row r="103" spans="2:11" ht="12" customHeight="1">
      <c r="B103" s="673"/>
      <c r="C103" s="676"/>
      <c r="D103" s="679"/>
      <c r="E103" s="668"/>
      <c r="F103" s="676"/>
      <c r="G103" s="679"/>
      <c r="H103" s="668"/>
      <c r="I103" s="676"/>
      <c r="J103" s="679"/>
      <c r="K103" s="668"/>
    </row>
    <row r="104" spans="2:11" ht="12" customHeight="1">
      <c r="B104" s="674"/>
      <c r="C104" s="677"/>
      <c r="D104" s="680"/>
      <c r="E104" s="671"/>
      <c r="F104" s="677"/>
      <c r="G104" s="680"/>
      <c r="H104" s="671"/>
      <c r="I104" s="677"/>
      <c r="J104" s="680"/>
      <c r="K104" s="671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750</v>
      </c>
      <c r="C106" s="155">
        <f>C98+C102</f>
        <v>47667.020000000004</v>
      </c>
      <c r="D106" s="63">
        <f aca="true" t="shared" si="4" ref="D106:K106">D98+D102</f>
        <v>52139.6</v>
      </c>
      <c r="E106" s="64">
        <f t="shared" si="4"/>
        <v>4472.579999999997</v>
      </c>
      <c r="F106" s="155">
        <f t="shared" si="4"/>
        <v>16702.64</v>
      </c>
      <c r="G106" s="63">
        <f t="shared" si="4"/>
        <v>18037.45</v>
      </c>
      <c r="H106" s="64">
        <f t="shared" si="4"/>
        <v>1334.8100000000004</v>
      </c>
      <c r="I106" s="155">
        <f t="shared" si="4"/>
        <v>25009.66</v>
      </c>
      <c r="J106" s="63">
        <f t="shared" si="4"/>
        <v>27286.32</v>
      </c>
      <c r="K106" s="64">
        <f t="shared" si="4"/>
        <v>2276.660000000001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891</v>
      </c>
      <c r="C109" s="320" t="s">
        <v>892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7" t="s">
        <v>726</v>
      </c>
      <c r="C111" s="660" t="s">
        <v>874</v>
      </c>
      <c r="D111" s="642" t="s">
        <v>752</v>
      </c>
      <c r="E111" s="667" t="s">
        <v>749</v>
      </c>
      <c r="F111" s="660" t="s">
        <v>877</v>
      </c>
      <c r="G111" s="642" t="s">
        <v>751</v>
      </c>
      <c r="H111" s="667" t="s">
        <v>749</v>
      </c>
      <c r="I111" s="660" t="s">
        <v>878</v>
      </c>
      <c r="J111" s="642" t="s">
        <v>753</v>
      </c>
      <c r="K111" s="667" t="s">
        <v>749</v>
      </c>
    </row>
    <row r="112" spans="2:11" ht="13.5" customHeight="1">
      <c r="B112" s="658"/>
      <c r="C112" s="661"/>
      <c r="D112" s="663"/>
      <c r="E112" s="668"/>
      <c r="F112" s="661"/>
      <c r="G112" s="663"/>
      <c r="H112" s="668"/>
      <c r="I112" s="661"/>
      <c r="J112" s="663"/>
      <c r="K112" s="668"/>
    </row>
    <row r="113" spans="2:11" ht="13.5" customHeight="1">
      <c r="B113" s="658"/>
      <c r="C113" s="661"/>
      <c r="D113" s="663"/>
      <c r="E113" s="668"/>
      <c r="F113" s="661"/>
      <c r="G113" s="663"/>
      <c r="H113" s="668"/>
      <c r="I113" s="661"/>
      <c r="J113" s="663"/>
      <c r="K113" s="668"/>
    </row>
    <row r="114" spans="2:11" ht="13.5" customHeight="1">
      <c r="B114" s="658"/>
      <c r="C114" s="661"/>
      <c r="D114" s="663"/>
      <c r="E114" s="668"/>
      <c r="F114" s="661"/>
      <c r="G114" s="663"/>
      <c r="H114" s="668"/>
      <c r="I114" s="661"/>
      <c r="J114" s="663"/>
      <c r="K114" s="668"/>
    </row>
    <row r="115" spans="2:11" ht="13.5" customHeight="1" thickBot="1">
      <c r="B115" s="659"/>
      <c r="C115" s="662"/>
      <c r="D115" s="664"/>
      <c r="E115" s="669"/>
      <c r="F115" s="662"/>
      <c r="G115" s="664"/>
      <c r="H115" s="669"/>
      <c r="I115" s="662"/>
      <c r="J115" s="664"/>
      <c r="K115" s="669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2" t="s">
        <v>876</v>
      </c>
      <c r="C117" s="675">
        <v>6872.19</v>
      </c>
      <c r="D117" s="678">
        <v>7147.07</v>
      </c>
      <c r="E117" s="670">
        <f>D117-C117</f>
        <v>274.8800000000001</v>
      </c>
      <c r="F117" s="675">
        <v>7168.35</v>
      </c>
      <c r="G117" s="678">
        <v>7455.08</v>
      </c>
      <c r="H117" s="670">
        <f>G117-F117</f>
        <v>286.72999999999956</v>
      </c>
      <c r="I117" s="675">
        <v>6648.84</v>
      </c>
      <c r="J117" s="678">
        <v>6785.37</v>
      </c>
      <c r="K117" s="670">
        <f>J117-I117</f>
        <v>136.52999999999975</v>
      </c>
    </row>
    <row r="118" spans="2:11" ht="15" customHeight="1">
      <c r="B118" s="673"/>
      <c r="C118" s="676"/>
      <c r="D118" s="679"/>
      <c r="E118" s="668"/>
      <c r="F118" s="676"/>
      <c r="G118" s="679"/>
      <c r="H118" s="668"/>
      <c r="I118" s="676"/>
      <c r="J118" s="679"/>
      <c r="K118" s="668"/>
    </row>
    <row r="119" spans="2:11" ht="15" customHeight="1">
      <c r="B119" s="674"/>
      <c r="C119" s="677"/>
      <c r="D119" s="680"/>
      <c r="E119" s="671"/>
      <c r="F119" s="677"/>
      <c r="G119" s="680"/>
      <c r="H119" s="671"/>
      <c r="I119" s="677"/>
      <c r="J119" s="680"/>
      <c r="K119" s="671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2" t="s">
        <v>875</v>
      </c>
      <c r="C121" s="675">
        <v>17126.62</v>
      </c>
      <c r="D121" s="678">
        <v>44529.16</v>
      </c>
      <c r="E121" s="670">
        <f>D121-C121</f>
        <v>27402.540000000005</v>
      </c>
      <c r="F121" s="675">
        <v>29829.6</v>
      </c>
      <c r="G121" s="678">
        <v>32812.54</v>
      </c>
      <c r="H121" s="670">
        <f>G121-F121</f>
        <v>2982.9400000000023</v>
      </c>
      <c r="I121" s="675">
        <v>18191.78</v>
      </c>
      <c r="J121" s="678">
        <v>20010.91</v>
      </c>
      <c r="K121" s="670">
        <f>J121-I121</f>
        <v>1819.130000000001</v>
      </c>
    </row>
    <row r="122" spans="2:11" ht="12" customHeight="1">
      <c r="B122" s="673"/>
      <c r="C122" s="676"/>
      <c r="D122" s="679"/>
      <c r="E122" s="668"/>
      <c r="F122" s="676"/>
      <c r="G122" s="679"/>
      <c r="H122" s="668"/>
      <c r="I122" s="676"/>
      <c r="J122" s="679"/>
      <c r="K122" s="668"/>
    </row>
    <row r="123" spans="2:11" ht="12" customHeight="1">
      <c r="B123" s="674"/>
      <c r="C123" s="677"/>
      <c r="D123" s="680"/>
      <c r="E123" s="671"/>
      <c r="F123" s="677"/>
      <c r="G123" s="680"/>
      <c r="H123" s="671"/>
      <c r="I123" s="677"/>
      <c r="J123" s="680"/>
      <c r="K123" s="671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750</v>
      </c>
      <c r="C125" s="155">
        <f>C117+C121</f>
        <v>23998.809999999998</v>
      </c>
      <c r="D125" s="63">
        <f aca="true" t="shared" si="5" ref="D125:K125">D117+D121</f>
        <v>51676.23</v>
      </c>
      <c r="E125" s="64">
        <f t="shared" si="5"/>
        <v>27677.420000000006</v>
      </c>
      <c r="F125" s="155">
        <f t="shared" si="5"/>
        <v>36997.95</v>
      </c>
      <c r="G125" s="63">
        <f t="shared" si="5"/>
        <v>40267.62</v>
      </c>
      <c r="H125" s="64">
        <f t="shared" si="5"/>
        <v>3269.670000000002</v>
      </c>
      <c r="I125" s="155">
        <f t="shared" si="5"/>
        <v>24840.62</v>
      </c>
      <c r="J125" s="63">
        <f t="shared" si="5"/>
        <v>26796.28</v>
      </c>
      <c r="K125" s="64">
        <f t="shared" si="5"/>
        <v>1955.6600000000008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4" t="s">
        <v>63</v>
      </c>
      <c r="C128" s="529" t="str">
        <f>COMANDOBLOQUEADO!S19</f>
        <v>CARDOSO</v>
      </c>
      <c r="D128" s="610"/>
      <c r="E128" s="610"/>
      <c r="F128" s="22"/>
      <c r="G128" s="22"/>
      <c r="H128" s="22"/>
      <c r="I128" s="216" t="s">
        <v>59</v>
      </c>
      <c r="J128" s="22" t="str">
        <f>IF(COMANDOBLOQUEADO!U6="1º TRIMESTRE","",IF(COMANDOBLOQUEADO!U6="2º TRIMESTRE","",IF(COMANDOBLOQUEADO!U68="3º TRIMESTRE","3º TRIMESTRE","3º TRIMESTRE")))</f>
        <v>3º TRIMESTRE</v>
      </c>
      <c r="K128" s="22" t="str">
        <f>COMANDOBLOQUEADO!Y6</f>
        <v>2005</v>
      </c>
    </row>
    <row r="129" spans="2:11" ht="12" customHeight="1">
      <c r="B129" s="634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5" t="s">
        <v>748</v>
      </c>
      <c r="C130" s="666"/>
      <c r="D130" s="666"/>
      <c r="E130" s="666"/>
      <c r="F130" s="666"/>
      <c r="G130" s="666"/>
      <c r="H130" s="666"/>
      <c r="I130" s="592"/>
      <c r="J130" s="592"/>
      <c r="K130" s="592"/>
    </row>
    <row r="131" spans="2:11" ht="9" customHeight="1">
      <c r="B131" s="666"/>
      <c r="C131" s="666"/>
      <c r="D131" s="666"/>
      <c r="E131" s="666"/>
      <c r="F131" s="666"/>
      <c r="G131" s="666"/>
      <c r="H131" s="666"/>
      <c r="I131" s="592"/>
      <c r="J131" s="592"/>
      <c r="K131" s="592"/>
    </row>
    <row r="132" ht="12" customHeight="1" thickBot="1"/>
    <row r="133" spans="2:11" ht="18.75">
      <c r="B133" s="99" t="s">
        <v>890</v>
      </c>
      <c r="C133" s="320" t="s">
        <v>893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7" t="s">
        <v>726</v>
      </c>
      <c r="C135" s="660" t="s">
        <v>874</v>
      </c>
      <c r="D135" s="642" t="s">
        <v>752</v>
      </c>
      <c r="E135" s="667" t="s">
        <v>749</v>
      </c>
      <c r="F135" s="660" t="s">
        <v>877</v>
      </c>
      <c r="G135" s="642" t="s">
        <v>751</v>
      </c>
      <c r="H135" s="667" t="s">
        <v>749</v>
      </c>
      <c r="I135" s="660" t="s">
        <v>878</v>
      </c>
      <c r="J135" s="642" t="s">
        <v>753</v>
      </c>
      <c r="K135" s="667" t="s">
        <v>749</v>
      </c>
    </row>
    <row r="136" spans="2:11" ht="13.5" customHeight="1">
      <c r="B136" s="658"/>
      <c r="C136" s="661"/>
      <c r="D136" s="663"/>
      <c r="E136" s="668"/>
      <c r="F136" s="661"/>
      <c r="G136" s="663"/>
      <c r="H136" s="668"/>
      <c r="I136" s="661"/>
      <c r="J136" s="663"/>
      <c r="K136" s="668"/>
    </row>
    <row r="137" spans="2:11" ht="13.5" customHeight="1">
      <c r="B137" s="658"/>
      <c r="C137" s="661"/>
      <c r="D137" s="663"/>
      <c r="E137" s="668"/>
      <c r="F137" s="661"/>
      <c r="G137" s="663"/>
      <c r="H137" s="668"/>
      <c r="I137" s="661"/>
      <c r="J137" s="663"/>
      <c r="K137" s="668"/>
    </row>
    <row r="138" spans="2:11" ht="13.5" customHeight="1">
      <c r="B138" s="658"/>
      <c r="C138" s="661"/>
      <c r="D138" s="663"/>
      <c r="E138" s="668"/>
      <c r="F138" s="661"/>
      <c r="G138" s="663"/>
      <c r="H138" s="668"/>
      <c r="I138" s="661"/>
      <c r="J138" s="663"/>
      <c r="K138" s="668"/>
    </row>
    <row r="139" spans="2:11" ht="13.5" customHeight="1" thickBot="1">
      <c r="B139" s="659"/>
      <c r="C139" s="662"/>
      <c r="D139" s="664"/>
      <c r="E139" s="669"/>
      <c r="F139" s="662"/>
      <c r="G139" s="664"/>
      <c r="H139" s="669"/>
      <c r="I139" s="662"/>
      <c r="J139" s="664"/>
      <c r="K139" s="669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2" t="s">
        <v>876</v>
      </c>
      <c r="C141" s="675">
        <v>5664.86</v>
      </c>
      <c r="D141" s="678">
        <v>5770.36</v>
      </c>
      <c r="E141" s="670">
        <f>D141-C141</f>
        <v>105.5</v>
      </c>
      <c r="F141" s="675">
        <v>7702.51</v>
      </c>
      <c r="G141" s="678">
        <v>7657.88</v>
      </c>
      <c r="H141" s="670">
        <f>G141-F141</f>
        <v>-44.63000000000011</v>
      </c>
      <c r="I141" s="675">
        <v>4561.32</v>
      </c>
      <c r="J141" s="678">
        <v>4000</v>
      </c>
      <c r="K141" s="670">
        <f>J141-I141</f>
        <v>-561.3199999999997</v>
      </c>
    </row>
    <row r="142" spans="2:11" ht="15" customHeight="1">
      <c r="B142" s="673"/>
      <c r="C142" s="676"/>
      <c r="D142" s="679"/>
      <c r="E142" s="668"/>
      <c r="F142" s="676"/>
      <c r="G142" s="679"/>
      <c r="H142" s="668"/>
      <c r="I142" s="676"/>
      <c r="J142" s="679"/>
      <c r="K142" s="668"/>
    </row>
    <row r="143" spans="2:11" ht="15" customHeight="1">
      <c r="B143" s="674"/>
      <c r="C143" s="677"/>
      <c r="D143" s="680"/>
      <c r="E143" s="671"/>
      <c r="F143" s="677"/>
      <c r="G143" s="680"/>
      <c r="H143" s="671"/>
      <c r="I143" s="677"/>
      <c r="J143" s="680"/>
      <c r="K143" s="671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2" t="s">
        <v>875</v>
      </c>
      <c r="C145" s="675">
        <v>22348.44</v>
      </c>
      <c r="D145" s="678">
        <v>24583.26</v>
      </c>
      <c r="E145" s="670">
        <f>D145-C145</f>
        <v>2234.8199999999997</v>
      </c>
      <c r="F145" s="675">
        <v>24335.38</v>
      </c>
      <c r="G145" s="678">
        <v>26768.9</v>
      </c>
      <c r="H145" s="670">
        <f>G145-F145</f>
        <v>2433.5200000000004</v>
      </c>
      <c r="I145" s="675">
        <v>16119.08</v>
      </c>
      <c r="J145" s="678">
        <v>16000</v>
      </c>
      <c r="K145" s="670">
        <f>J145-I145</f>
        <v>-119.07999999999993</v>
      </c>
    </row>
    <row r="146" spans="2:11" ht="12.75" customHeight="1">
      <c r="B146" s="673"/>
      <c r="C146" s="676"/>
      <c r="D146" s="679"/>
      <c r="E146" s="668"/>
      <c r="F146" s="676"/>
      <c r="G146" s="679"/>
      <c r="H146" s="668"/>
      <c r="I146" s="676"/>
      <c r="J146" s="679"/>
      <c r="K146" s="668"/>
    </row>
    <row r="147" spans="2:11" ht="12.75" customHeight="1">
      <c r="B147" s="674"/>
      <c r="C147" s="677"/>
      <c r="D147" s="680"/>
      <c r="E147" s="671"/>
      <c r="F147" s="677"/>
      <c r="G147" s="680"/>
      <c r="H147" s="671"/>
      <c r="I147" s="677"/>
      <c r="J147" s="680"/>
      <c r="K147" s="671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750</v>
      </c>
      <c r="C149" s="155">
        <f>C141+C145</f>
        <v>28013.3</v>
      </c>
      <c r="D149" s="63">
        <f aca="true" t="shared" si="6" ref="D149:K149">D141+D145</f>
        <v>30353.62</v>
      </c>
      <c r="E149" s="157">
        <f t="shared" si="6"/>
        <v>2340.3199999999997</v>
      </c>
      <c r="F149" s="155">
        <f t="shared" si="6"/>
        <v>32037.89</v>
      </c>
      <c r="G149" s="63">
        <f t="shared" si="6"/>
        <v>34426.78</v>
      </c>
      <c r="H149" s="157">
        <f t="shared" si="6"/>
        <v>2388.8900000000003</v>
      </c>
      <c r="I149" s="155">
        <f t="shared" si="6"/>
        <v>20680.4</v>
      </c>
      <c r="J149" s="63">
        <f t="shared" si="6"/>
        <v>20000</v>
      </c>
      <c r="K149" s="64">
        <f t="shared" si="6"/>
        <v>-680.3999999999996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895</v>
      </c>
      <c r="C152" s="320" t="s">
        <v>894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7" t="s">
        <v>726</v>
      </c>
      <c r="C154" s="660" t="s">
        <v>874</v>
      </c>
      <c r="D154" s="642" t="s">
        <v>752</v>
      </c>
      <c r="E154" s="667" t="s">
        <v>749</v>
      </c>
      <c r="F154" s="660" t="s">
        <v>877</v>
      </c>
      <c r="G154" s="642" t="s">
        <v>751</v>
      </c>
      <c r="H154" s="667" t="s">
        <v>749</v>
      </c>
      <c r="I154" s="660" t="s">
        <v>878</v>
      </c>
      <c r="J154" s="642" t="s">
        <v>753</v>
      </c>
      <c r="K154" s="667" t="s">
        <v>749</v>
      </c>
    </row>
    <row r="155" spans="2:11" ht="13.5" customHeight="1">
      <c r="B155" s="658"/>
      <c r="C155" s="661"/>
      <c r="D155" s="663"/>
      <c r="E155" s="668"/>
      <c r="F155" s="661"/>
      <c r="G155" s="663"/>
      <c r="H155" s="668"/>
      <c r="I155" s="661"/>
      <c r="J155" s="663"/>
      <c r="K155" s="668"/>
    </row>
    <row r="156" spans="2:11" ht="13.5" customHeight="1">
      <c r="B156" s="658"/>
      <c r="C156" s="661"/>
      <c r="D156" s="663"/>
      <c r="E156" s="668"/>
      <c r="F156" s="661"/>
      <c r="G156" s="663"/>
      <c r="H156" s="668"/>
      <c r="I156" s="661"/>
      <c r="J156" s="663"/>
      <c r="K156" s="668"/>
    </row>
    <row r="157" spans="2:11" ht="13.5" customHeight="1">
      <c r="B157" s="658"/>
      <c r="C157" s="661"/>
      <c r="D157" s="663"/>
      <c r="E157" s="668"/>
      <c r="F157" s="661"/>
      <c r="G157" s="663"/>
      <c r="H157" s="668"/>
      <c r="I157" s="661"/>
      <c r="J157" s="663"/>
      <c r="K157" s="668"/>
    </row>
    <row r="158" spans="2:11" ht="13.5" customHeight="1" thickBot="1">
      <c r="B158" s="659"/>
      <c r="C158" s="662"/>
      <c r="D158" s="664"/>
      <c r="E158" s="669"/>
      <c r="F158" s="662"/>
      <c r="G158" s="664"/>
      <c r="H158" s="669"/>
      <c r="I158" s="662"/>
      <c r="J158" s="664"/>
      <c r="K158" s="669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2" t="s">
        <v>876</v>
      </c>
      <c r="C160" s="675">
        <v>9154.2</v>
      </c>
      <c r="D160" s="678">
        <v>9520.37</v>
      </c>
      <c r="E160" s="670">
        <f>D160-C160</f>
        <v>366.1700000000001</v>
      </c>
      <c r="F160" s="675">
        <v>6334.98</v>
      </c>
      <c r="G160" s="678">
        <v>6588.37</v>
      </c>
      <c r="H160" s="670">
        <f>G160-F160</f>
        <v>253.39000000000033</v>
      </c>
      <c r="I160" s="675">
        <v>3906.53</v>
      </c>
      <c r="J160" s="678">
        <v>4027.7</v>
      </c>
      <c r="K160" s="670">
        <f>J160-I160</f>
        <v>121.16999999999962</v>
      </c>
    </row>
    <row r="161" spans="2:11" ht="15" customHeight="1">
      <c r="B161" s="673"/>
      <c r="C161" s="676"/>
      <c r="D161" s="679"/>
      <c r="E161" s="668"/>
      <c r="F161" s="676"/>
      <c r="G161" s="679"/>
      <c r="H161" s="668"/>
      <c r="I161" s="676"/>
      <c r="J161" s="679"/>
      <c r="K161" s="668"/>
    </row>
    <row r="162" spans="2:11" ht="15" customHeight="1">
      <c r="B162" s="674"/>
      <c r="C162" s="677"/>
      <c r="D162" s="680"/>
      <c r="E162" s="671"/>
      <c r="F162" s="677"/>
      <c r="G162" s="680"/>
      <c r="H162" s="671"/>
      <c r="I162" s="677"/>
      <c r="J162" s="680"/>
      <c r="K162" s="671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2" t="s">
        <v>875</v>
      </c>
      <c r="C164" s="675">
        <v>36704.87</v>
      </c>
      <c r="D164" s="678">
        <v>40375.33</v>
      </c>
      <c r="E164" s="670">
        <f>D164-C164</f>
        <v>3670.459999999999</v>
      </c>
      <c r="F164" s="675">
        <v>10707.34</v>
      </c>
      <c r="G164" s="678">
        <v>11778.05</v>
      </c>
      <c r="H164" s="670">
        <f>G164-F164</f>
        <v>1070.7099999999991</v>
      </c>
      <c r="I164" s="675">
        <v>21337.18</v>
      </c>
      <c r="J164" s="678">
        <v>23470.85</v>
      </c>
      <c r="K164" s="670">
        <f>J164-I164</f>
        <v>2133.6699999999983</v>
      </c>
    </row>
    <row r="165" spans="2:11" ht="12.75" customHeight="1">
      <c r="B165" s="673"/>
      <c r="C165" s="676"/>
      <c r="D165" s="679"/>
      <c r="E165" s="668"/>
      <c r="F165" s="676"/>
      <c r="G165" s="679"/>
      <c r="H165" s="668"/>
      <c r="I165" s="676"/>
      <c r="J165" s="679"/>
      <c r="K165" s="668"/>
    </row>
    <row r="166" spans="2:11" ht="12.75" customHeight="1">
      <c r="B166" s="674"/>
      <c r="C166" s="677"/>
      <c r="D166" s="680"/>
      <c r="E166" s="671"/>
      <c r="F166" s="677"/>
      <c r="G166" s="680"/>
      <c r="H166" s="671"/>
      <c r="I166" s="677"/>
      <c r="J166" s="680"/>
      <c r="K166" s="671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750</v>
      </c>
      <c r="C168" s="155">
        <f>C160+C164</f>
        <v>45859.07000000001</v>
      </c>
      <c r="D168" s="63">
        <f aca="true" t="shared" si="7" ref="D168:K168">D160+D164</f>
        <v>49895.700000000004</v>
      </c>
      <c r="E168" s="64">
        <f t="shared" si="7"/>
        <v>4036.629999999999</v>
      </c>
      <c r="F168" s="155">
        <f t="shared" si="7"/>
        <v>17042.32</v>
      </c>
      <c r="G168" s="63">
        <f t="shared" si="7"/>
        <v>18366.42</v>
      </c>
      <c r="H168" s="64">
        <f t="shared" si="7"/>
        <v>1324.0999999999995</v>
      </c>
      <c r="I168" s="155">
        <f t="shared" si="7"/>
        <v>25243.71</v>
      </c>
      <c r="J168" s="63">
        <f t="shared" si="7"/>
        <v>27498.55</v>
      </c>
      <c r="K168" s="64">
        <f t="shared" si="7"/>
        <v>2254.839999999998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897</v>
      </c>
      <c r="C171" s="320" t="s">
        <v>896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7" t="s">
        <v>726</v>
      </c>
      <c r="C173" s="660" t="s">
        <v>874</v>
      </c>
      <c r="D173" s="642" t="s">
        <v>752</v>
      </c>
      <c r="E173" s="667" t="s">
        <v>749</v>
      </c>
      <c r="F173" s="660" t="s">
        <v>877</v>
      </c>
      <c r="G173" s="642" t="s">
        <v>751</v>
      </c>
      <c r="H173" s="667" t="s">
        <v>749</v>
      </c>
      <c r="I173" s="660" t="s">
        <v>878</v>
      </c>
      <c r="J173" s="642" t="s">
        <v>753</v>
      </c>
      <c r="K173" s="667" t="s">
        <v>749</v>
      </c>
    </row>
    <row r="174" spans="2:11" ht="13.5" customHeight="1">
      <c r="B174" s="658"/>
      <c r="C174" s="661"/>
      <c r="D174" s="663"/>
      <c r="E174" s="668"/>
      <c r="F174" s="661"/>
      <c r="G174" s="663"/>
      <c r="H174" s="668"/>
      <c r="I174" s="661"/>
      <c r="J174" s="663"/>
      <c r="K174" s="668"/>
    </row>
    <row r="175" spans="2:11" ht="13.5" customHeight="1">
      <c r="B175" s="658"/>
      <c r="C175" s="661"/>
      <c r="D175" s="663"/>
      <c r="E175" s="668"/>
      <c r="F175" s="661"/>
      <c r="G175" s="663"/>
      <c r="H175" s="668"/>
      <c r="I175" s="661"/>
      <c r="J175" s="663"/>
      <c r="K175" s="668"/>
    </row>
    <row r="176" spans="2:11" ht="13.5" customHeight="1">
      <c r="B176" s="658"/>
      <c r="C176" s="661"/>
      <c r="D176" s="663"/>
      <c r="E176" s="668"/>
      <c r="F176" s="661"/>
      <c r="G176" s="663"/>
      <c r="H176" s="668"/>
      <c r="I176" s="661"/>
      <c r="J176" s="663"/>
      <c r="K176" s="668"/>
    </row>
    <row r="177" spans="2:11" ht="13.5" customHeight="1" thickBot="1">
      <c r="B177" s="659"/>
      <c r="C177" s="662"/>
      <c r="D177" s="664"/>
      <c r="E177" s="669"/>
      <c r="F177" s="662"/>
      <c r="G177" s="664"/>
      <c r="H177" s="669"/>
      <c r="I177" s="662"/>
      <c r="J177" s="664"/>
      <c r="K177" s="669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2" t="s">
        <v>876</v>
      </c>
      <c r="C179" s="675">
        <v>5504.28</v>
      </c>
      <c r="D179" s="678">
        <v>5724.45</v>
      </c>
      <c r="E179" s="670">
        <f>D179-C179</f>
        <v>220.17000000000007</v>
      </c>
      <c r="F179" s="675">
        <v>4833.13</v>
      </c>
      <c r="G179" s="678">
        <v>4941.93</v>
      </c>
      <c r="H179" s="670">
        <f>G179-F179</f>
        <v>108.80000000000018</v>
      </c>
      <c r="I179" s="675">
        <v>4149.87</v>
      </c>
      <c r="J179" s="678">
        <v>4315.86</v>
      </c>
      <c r="K179" s="670">
        <f>J179-I179</f>
        <v>165.98999999999978</v>
      </c>
    </row>
    <row r="180" spans="2:11" ht="15" customHeight="1">
      <c r="B180" s="673"/>
      <c r="C180" s="676"/>
      <c r="D180" s="679"/>
      <c r="E180" s="668"/>
      <c r="F180" s="676"/>
      <c r="G180" s="679"/>
      <c r="H180" s="668"/>
      <c r="I180" s="676"/>
      <c r="J180" s="679"/>
      <c r="K180" s="668"/>
    </row>
    <row r="181" spans="2:11" ht="15" customHeight="1">
      <c r="B181" s="674"/>
      <c r="C181" s="677"/>
      <c r="D181" s="680"/>
      <c r="E181" s="671"/>
      <c r="F181" s="677"/>
      <c r="G181" s="680"/>
      <c r="H181" s="671"/>
      <c r="I181" s="677"/>
      <c r="J181" s="680"/>
      <c r="K181" s="671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2" t="s">
        <v>875</v>
      </c>
      <c r="C183" s="675">
        <v>19293.39</v>
      </c>
      <c r="D183" s="678">
        <v>21222.72</v>
      </c>
      <c r="E183" s="670">
        <f>D183-C183</f>
        <v>1929.3300000000017</v>
      </c>
      <c r="F183" s="675">
        <v>26176.81</v>
      </c>
      <c r="G183" s="678">
        <v>28794.46</v>
      </c>
      <c r="H183" s="670">
        <f>G183-F183</f>
        <v>2617.649999999998</v>
      </c>
      <c r="I183" s="675">
        <v>11204.95</v>
      </c>
      <c r="J183" s="678">
        <v>12325.4</v>
      </c>
      <c r="K183" s="670">
        <f>J183-I183</f>
        <v>1120.449999999999</v>
      </c>
    </row>
    <row r="184" spans="2:11" ht="12.75" customHeight="1">
      <c r="B184" s="673"/>
      <c r="C184" s="676"/>
      <c r="D184" s="679"/>
      <c r="E184" s="668"/>
      <c r="F184" s="676"/>
      <c r="G184" s="679"/>
      <c r="H184" s="668"/>
      <c r="I184" s="676"/>
      <c r="J184" s="679"/>
      <c r="K184" s="668"/>
    </row>
    <row r="185" spans="2:11" ht="12.75" customHeight="1">
      <c r="B185" s="674"/>
      <c r="C185" s="677"/>
      <c r="D185" s="680"/>
      <c r="E185" s="671"/>
      <c r="F185" s="677"/>
      <c r="G185" s="680"/>
      <c r="H185" s="671"/>
      <c r="I185" s="677"/>
      <c r="J185" s="680"/>
      <c r="K185" s="671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750</v>
      </c>
      <c r="C187" s="155">
        <f>C179+C183</f>
        <v>24797.67</v>
      </c>
      <c r="D187" s="63">
        <f aca="true" t="shared" si="8" ref="D187:K187">D179+D183</f>
        <v>26947.170000000002</v>
      </c>
      <c r="E187" s="64">
        <f t="shared" si="8"/>
        <v>2149.500000000002</v>
      </c>
      <c r="F187" s="155">
        <f t="shared" si="8"/>
        <v>31009.940000000002</v>
      </c>
      <c r="G187" s="63">
        <f t="shared" si="8"/>
        <v>33736.39</v>
      </c>
      <c r="H187" s="64">
        <f t="shared" si="8"/>
        <v>2726.449999999998</v>
      </c>
      <c r="I187" s="155">
        <f t="shared" si="8"/>
        <v>15354.82</v>
      </c>
      <c r="J187" s="63">
        <f t="shared" si="8"/>
        <v>16641.26</v>
      </c>
      <c r="K187" s="64">
        <f t="shared" si="8"/>
        <v>1286.4399999999987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4" t="s">
        <v>63</v>
      </c>
      <c r="C190" s="529" t="str">
        <f>COMANDOBLOQUEADO!S19</f>
        <v>CARDOSO</v>
      </c>
      <c r="D190" s="610"/>
      <c r="E190" s="610"/>
      <c r="F190" s="22"/>
      <c r="G190" s="22"/>
      <c r="H190" s="22"/>
      <c r="I190" s="216" t="s">
        <v>59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2005</v>
      </c>
    </row>
    <row r="191" spans="2:11" ht="13.5" customHeight="1">
      <c r="B191" s="634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5" t="s">
        <v>748</v>
      </c>
      <c r="C192" s="666"/>
      <c r="D192" s="666"/>
      <c r="E192" s="666"/>
      <c r="F192" s="666"/>
      <c r="G192" s="666"/>
      <c r="H192" s="666"/>
      <c r="I192" s="592"/>
      <c r="J192" s="592"/>
      <c r="K192" s="592"/>
    </row>
    <row r="193" spans="2:11" ht="9" customHeight="1">
      <c r="B193" s="666"/>
      <c r="C193" s="666"/>
      <c r="D193" s="666"/>
      <c r="E193" s="666"/>
      <c r="F193" s="666"/>
      <c r="G193" s="666"/>
      <c r="H193" s="666"/>
      <c r="I193" s="592"/>
      <c r="J193" s="592"/>
      <c r="K193" s="592"/>
    </row>
    <row r="194" ht="12" customHeight="1" thickBot="1"/>
    <row r="195" spans="2:11" ht="18.75">
      <c r="B195" s="99" t="s">
        <v>899</v>
      </c>
      <c r="C195" s="320" t="s">
        <v>900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7" t="s">
        <v>726</v>
      </c>
      <c r="C197" s="660" t="s">
        <v>874</v>
      </c>
      <c r="D197" s="642" t="s">
        <v>752</v>
      </c>
      <c r="E197" s="667" t="s">
        <v>749</v>
      </c>
      <c r="F197" s="660" t="s">
        <v>877</v>
      </c>
      <c r="G197" s="642" t="s">
        <v>751</v>
      </c>
      <c r="H197" s="667" t="s">
        <v>749</v>
      </c>
      <c r="I197" s="660" t="s">
        <v>878</v>
      </c>
      <c r="J197" s="642" t="s">
        <v>753</v>
      </c>
      <c r="K197" s="667" t="s">
        <v>749</v>
      </c>
    </row>
    <row r="198" spans="2:11" ht="13.5" customHeight="1">
      <c r="B198" s="658"/>
      <c r="C198" s="661"/>
      <c r="D198" s="663"/>
      <c r="E198" s="668"/>
      <c r="F198" s="661"/>
      <c r="G198" s="663"/>
      <c r="H198" s="668"/>
      <c r="I198" s="661"/>
      <c r="J198" s="663"/>
      <c r="K198" s="668"/>
    </row>
    <row r="199" spans="2:11" ht="13.5" customHeight="1">
      <c r="B199" s="658"/>
      <c r="C199" s="661"/>
      <c r="D199" s="663"/>
      <c r="E199" s="668"/>
      <c r="F199" s="661"/>
      <c r="G199" s="663"/>
      <c r="H199" s="668"/>
      <c r="I199" s="661"/>
      <c r="J199" s="663"/>
      <c r="K199" s="668"/>
    </row>
    <row r="200" spans="2:11" ht="13.5" customHeight="1">
      <c r="B200" s="658"/>
      <c r="C200" s="661"/>
      <c r="D200" s="663"/>
      <c r="E200" s="668"/>
      <c r="F200" s="661"/>
      <c r="G200" s="663"/>
      <c r="H200" s="668"/>
      <c r="I200" s="661"/>
      <c r="J200" s="663"/>
      <c r="K200" s="668"/>
    </row>
    <row r="201" spans="2:11" ht="13.5" customHeight="1" thickBot="1">
      <c r="B201" s="659"/>
      <c r="C201" s="662"/>
      <c r="D201" s="664"/>
      <c r="E201" s="669"/>
      <c r="F201" s="662"/>
      <c r="G201" s="664"/>
      <c r="H201" s="669"/>
      <c r="I201" s="662"/>
      <c r="J201" s="664"/>
      <c r="K201" s="669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2" t="s">
        <v>876</v>
      </c>
      <c r="C203" s="675"/>
      <c r="D203" s="678"/>
      <c r="E203" s="670">
        <f>D203-C203</f>
        <v>0</v>
      </c>
      <c r="F203" s="675"/>
      <c r="G203" s="678"/>
      <c r="H203" s="670">
        <f>G203-F203</f>
        <v>0</v>
      </c>
      <c r="I203" s="675"/>
      <c r="J203" s="678"/>
      <c r="K203" s="670">
        <f>J203-I203</f>
        <v>0</v>
      </c>
    </row>
    <row r="204" spans="2:11" ht="15" customHeight="1">
      <c r="B204" s="673"/>
      <c r="C204" s="676"/>
      <c r="D204" s="679"/>
      <c r="E204" s="668"/>
      <c r="F204" s="676"/>
      <c r="G204" s="679"/>
      <c r="H204" s="668"/>
      <c r="I204" s="676"/>
      <c r="J204" s="679"/>
      <c r="K204" s="668"/>
    </row>
    <row r="205" spans="2:11" ht="15" customHeight="1">
      <c r="B205" s="674"/>
      <c r="C205" s="677"/>
      <c r="D205" s="680"/>
      <c r="E205" s="671"/>
      <c r="F205" s="677"/>
      <c r="G205" s="680"/>
      <c r="H205" s="671"/>
      <c r="I205" s="677"/>
      <c r="J205" s="680"/>
      <c r="K205" s="671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2" t="s">
        <v>875</v>
      </c>
      <c r="C207" s="675"/>
      <c r="D207" s="678"/>
      <c r="E207" s="670">
        <f>D207-C207</f>
        <v>0</v>
      </c>
      <c r="F207" s="675"/>
      <c r="G207" s="678"/>
      <c r="H207" s="670">
        <f>G207-F207</f>
        <v>0</v>
      </c>
      <c r="I207" s="675"/>
      <c r="J207" s="678"/>
      <c r="K207" s="670">
        <f>J207-I207</f>
        <v>0</v>
      </c>
    </row>
    <row r="208" spans="2:11" ht="12.75" customHeight="1">
      <c r="B208" s="673"/>
      <c r="C208" s="676"/>
      <c r="D208" s="679"/>
      <c r="E208" s="668"/>
      <c r="F208" s="676"/>
      <c r="G208" s="679"/>
      <c r="H208" s="668"/>
      <c r="I208" s="676"/>
      <c r="J208" s="679"/>
      <c r="K208" s="668"/>
    </row>
    <row r="209" spans="2:11" ht="12.75" customHeight="1">
      <c r="B209" s="674"/>
      <c r="C209" s="677"/>
      <c r="D209" s="680"/>
      <c r="E209" s="671"/>
      <c r="F209" s="677"/>
      <c r="G209" s="680"/>
      <c r="H209" s="671"/>
      <c r="I209" s="677"/>
      <c r="J209" s="680"/>
      <c r="K209" s="671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750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902</v>
      </c>
      <c r="C214" s="320" t="s">
        <v>901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7" t="s">
        <v>726</v>
      </c>
      <c r="C216" s="660" t="s">
        <v>874</v>
      </c>
      <c r="D216" s="642" t="s">
        <v>752</v>
      </c>
      <c r="E216" s="667" t="s">
        <v>749</v>
      </c>
      <c r="F216" s="660" t="s">
        <v>877</v>
      </c>
      <c r="G216" s="642" t="s">
        <v>751</v>
      </c>
      <c r="H216" s="667" t="s">
        <v>749</v>
      </c>
      <c r="I216" s="660" t="s">
        <v>878</v>
      </c>
      <c r="J216" s="642" t="s">
        <v>753</v>
      </c>
      <c r="K216" s="667" t="s">
        <v>749</v>
      </c>
    </row>
    <row r="217" spans="2:11" ht="13.5" customHeight="1">
      <c r="B217" s="658"/>
      <c r="C217" s="661"/>
      <c r="D217" s="663"/>
      <c r="E217" s="668"/>
      <c r="F217" s="661"/>
      <c r="G217" s="663"/>
      <c r="H217" s="668"/>
      <c r="I217" s="661"/>
      <c r="J217" s="663"/>
      <c r="K217" s="668"/>
    </row>
    <row r="218" spans="2:11" ht="13.5" customHeight="1">
      <c r="B218" s="658"/>
      <c r="C218" s="661"/>
      <c r="D218" s="663"/>
      <c r="E218" s="668"/>
      <c r="F218" s="661"/>
      <c r="G218" s="663"/>
      <c r="H218" s="668"/>
      <c r="I218" s="661"/>
      <c r="J218" s="663"/>
      <c r="K218" s="668"/>
    </row>
    <row r="219" spans="2:11" ht="13.5" customHeight="1">
      <c r="B219" s="658"/>
      <c r="C219" s="661"/>
      <c r="D219" s="663"/>
      <c r="E219" s="668"/>
      <c r="F219" s="661"/>
      <c r="G219" s="663"/>
      <c r="H219" s="668"/>
      <c r="I219" s="661"/>
      <c r="J219" s="663"/>
      <c r="K219" s="668"/>
    </row>
    <row r="220" spans="2:11" ht="13.5" customHeight="1" thickBot="1">
      <c r="B220" s="659"/>
      <c r="C220" s="662"/>
      <c r="D220" s="664"/>
      <c r="E220" s="669"/>
      <c r="F220" s="662"/>
      <c r="G220" s="664"/>
      <c r="H220" s="669"/>
      <c r="I220" s="662"/>
      <c r="J220" s="664"/>
      <c r="K220" s="669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2" t="s">
        <v>876</v>
      </c>
      <c r="C222" s="675"/>
      <c r="D222" s="678"/>
      <c r="E222" s="670">
        <f>D222-C222</f>
        <v>0</v>
      </c>
      <c r="F222" s="675"/>
      <c r="G222" s="678"/>
      <c r="H222" s="670">
        <f>G222-F222</f>
        <v>0</v>
      </c>
      <c r="I222" s="675"/>
      <c r="J222" s="678"/>
      <c r="K222" s="670">
        <f>J222-I222</f>
        <v>0</v>
      </c>
    </row>
    <row r="223" spans="2:11" ht="15" customHeight="1">
      <c r="B223" s="673"/>
      <c r="C223" s="676"/>
      <c r="D223" s="679"/>
      <c r="E223" s="668"/>
      <c r="F223" s="676"/>
      <c r="G223" s="679"/>
      <c r="H223" s="668"/>
      <c r="I223" s="676"/>
      <c r="J223" s="679"/>
      <c r="K223" s="668"/>
    </row>
    <row r="224" spans="2:11" ht="15" customHeight="1">
      <c r="B224" s="674"/>
      <c r="C224" s="677"/>
      <c r="D224" s="680"/>
      <c r="E224" s="671"/>
      <c r="F224" s="677"/>
      <c r="G224" s="680"/>
      <c r="H224" s="671"/>
      <c r="I224" s="677"/>
      <c r="J224" s="680"/>
      <c r="K224" s="671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2" t="s">
        <v>875</v>
      </c>
      <c r="C226" s="675"/>
      <c r="D226" s="678"/>
      <c r="E226" s="670">
        <f>D226-C226</f>
        <v>0</v>
      </c>
      <c r="F226" s="675"/>
      <c r="G226" s="678"/>
      <c r="H226" s="670">
        <f>G226-F226</f>
        <v>0</v>
      </c>
      <c r="I226" s="675"/>
      <c r="J226" s="678"/>
      <c r="K226" s="670">
        <f>J226-I226</f>
        <v>0</v>
      </c>
    </row>
    <row r="227" spans="2:11" ht="12.75" customHeight="1">
      <c r="B227" s="673"/>
      <c r="C227" s="676"/>
      <c r="D227" s="679"/>
      <c r="E227" s="668"/>
      <c r="F227" s="676"/>
      <c r="G227" s="679"/>
      <c r="H227" s="668"/>
      <c r="I227" s="676"/>
      <c r="J227" s="679"/>
      <c r="K227" s="668"/>
    </row>
    <row r="228" spans="2:11" ht="12.75" customHeight="1">
      <c r="B228" s="674"/>
      <c r="C228" s="677"/>
      <c r="D228" s="680"/>
      <c r="E228" s="671"/>
      <c r="F228" s="677"/>
      <c r="G228" s="680"/>
      <c r="H228" s="671"/>
      <c r="I228" s="677"/>
      <c r="J228" s="680"/>
      <c r="K228" s="671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750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903</v>
      </c>
      <c r="C233" s="320" t="s">
        <v>904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7" t="s">
        <v>726</v>
      </c>
      <c r="C235" s="660" t="s">
        <v>874</v>
      </c>
      <c r="D235" s="642" t="s">
        <v>752</v>
      </c>
      <c r="E235" s="667" t="s">
        <v>749</v>
      </c>
      <c r="F235" s="660" t="s">
        <v>877</v>
      </c>
      <c r="G235" s="642" t="s">
        <v>751</v>
      </c>
      <c r="H235" s="667" t="s">
        <v>749</v>
      </c>
      <c r="I235" s="660" t="s">
        <v>878</v>
      </c>
      <c r="J235" s="642" t="s">
        <v>753</v>
      </c>
      <c r="K235" s="667" t="s">
        <v>749</v>
      </c>
    </row>
    <row r="236" spans="2:11" ht="13.5" customHeight="1">
      <c r="B236" s="658"/>
      <c r="C236" s="661"/>
      <c r="D236" s="663"/>
      <c r="E236" s="668"/>
      <c r="F236" s="661"/>
      <c r="G236" s="663"/>
      <c r="H236" s="668"/>
      <c r="I236" s="661"/>
      <c r="J236" s="663"/>
      <c r="K236" s="668"/>
    </row>
    <row r="237" spans="2:11" ht="13.5" customHeight="1">
      <c r="B237" s="658"/>
      <c r="C237" s="661"/>
      <c r="D237" s="663"/>
      <c r="E237" s="668"/>
      <c r="F237" s="661"/>
      <c r="G237" s="663"/>
      <c r="H237" s="668"/>
      <c r="I237" s="661"/>
      <c r="J237" s="663"/>
      <c r="K237" s="668"/>
    </row>
    <row r="238" spans="2:11" ht="13.5" customHeight="1">
      <c r="B238" s="658"/>
      <c r="C238" s="661"/>
      <c r="D238" s="663"/>
      <c r="E238" s="668"/>
      <c r="F238" s="661"/>
      <c r="G238" s="663"/>
      <c r="H238" s="668"/>
      <c r="I238" s="661"/>
      <c r="J238" s="663"/>
      <c r="K238" s="668"/>
    </row>
    <row r="239" spans="2:11" ht="13.5" customHeight="1" thickBot="1">
      <c r="B239" s="659"/>
      <c r="C239" s="662"/>
      <c r="D239" s="664"/>
      <c r="E239" s="669"/>
      <c r="F239" s="662"/>
      <c r="G239" s="664"/>
      <c r="H239" s="669"/>
      <c r="I239" s="662"/>
      <c r="J239" s="664"/>
      <c r="K239" s="669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2" t="s">
        <v>876</v>
      </c>
      <c r="C241" s="675"/>
      <c r="D241" s="678"/>
      <c r="E241" s="670">
        <f>D241-C241</f>
        <v>0</v>
      </c>
      <c r="F241" s="675"/>
      <c r="G241" s="678"/>
      <c r="H241" s="670">
        <f>G241-F241</f>
        <v>0</v>
      </c>
      <c r="I241" s="675"/>
      <c r="J241" s="678"/>
      <c r="K241" s="670">
        <f>J241-I241</f>
        <v>0</v>
      </c>
    </row>
    <row r="242" spans="2:11" ht="15" customHeight="1">
      <c r="B242" s="673"/>
      <c r="C242" s="676"/>
      <c r="D242" s="679"/>
      <c r="E242" s="668"/>
      <c r="F242" s="676"/>
      <c r="G242" s="679"/>
      <c r="H242" s="668"/>
      <c r="I242" s="676"/>
      <c r="J242" s="679"/>
      <c r="K242" s="668"/>
    </row>
    <row r="243" spans="2:11" ht="15" customHeight="1">
      <c r="B243" s="674"/>
      <c r="C243" s="677"/>
      <c r="D243" s="680"/>
      <c r="E243" s="671"/>
      <c r="F243" s="677"/>
      <c r="G243" s="680"/>
      <c r="H243" s="671"/>
      <c r="I243" s="677"/>
      <c r="J243" s="680"/>
      <c r="K243" s="671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2" t="s">
        <v>875</v>
      </c>
      <c r="C245" s="675"/>
      <c r="D245" s="678"/>
      <c r="E245" s="670">
        <f>D245-C245</f>
        <v>0</v>
      </c>
      <c r="F245" s="675"/>
      <c r="G245" s="678"/>
      <c r="H245" s="670">
        <f>G245-F245</f>
        <v>0</v>
      </c>
      <c r="I245" s="675"/>
      <c r="J245" s="678"/>
      <c r="K245" s="670">
        <f>J245-I245</f>
        <v>0</v>
      </c>
    </row>
    <row r="246" spans="2:11" ht="12.75" customHeight="1">
      <c r="B246" s="673"/>
      <c r="C246" s="676"/>
      <c r="D246" s="679"/>
      <c r="E246" s="668"/>
      <c r="F246" s="676"/>
      <c r="G246" s="679"/>
      <c r="H246" s="668"/>
      <c r="I246" s="676"/>
      <c r="J246" s="679"/>
      <c r="K246" s="668"/>
    </row>
    <row r="247" spans="2:11" ht="12.75" customHeight="1">
      <c r="B247" s="674"/>
      <c r="C247" s="677"/>
      <c r="D247" s="680"/>
      <c r="E247" s="671"/>
      <c r="F247" s="677"/>
      <c r="G247" s="680"/>
      <c r="H247" s="671"/>
      <c r="I247" s="677"/>
      <c r="J247" s="680"/>
      <c r="K247" s="671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750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3º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J61" sqref="J6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3" t="s">
        <v>1033</v>
      </c>
      <c r="D2" s="683"/>
      <c r="E2" s="61" t="str">
        <f>COMANDOBLOQUEADO!S19</f>
        <v>CARDOSO</v>
      </c>
      <c r="F2" s="61"/>
      <c r="G2" s="683" t="s">
        <v>59</v>
      </c>
      <c r="H2" s="653"/>
      <c r="I2" s="61" t="str">
        <f>COMANDOBLOQUEADO!U6</f>
        <v>3º TRIMESTRE</v>
      </c>
      <c r="J2" s="61" t="str">
        <f>COMANDOBLOQUEADO!Y6</f>
        <v>2005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5" t="s">
        <v>817</v>
      </c>
      <c r="D4" s="665"/>
      <c r="E4" s="715"/>
      <c r="F4" s="715"/>
      <c r="G4" s="715"/>
      <c r="H4" s="715"/>
      <c r="I4" s="715"/>
      <c r="J4" s="715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1" t="s">
        <v>719</v>
      </c>
      <c r="D7" s="702"/>
      <c r="E7" s="703"/>
      <c r="F7" s="703"/>
      <c r="G7" s="703"/>
      <c r="H7" s="703"/>
      <c r="I7" s="703"/>
      <c r="J7" s="704"/>
    </row>
    <row r="8" spans="1:10" ht="19.5" customHeight="1" thickBot="1">
      <c r="A8" s="1"/>
      <c r="B8" s="1"/>
      <c r="C8" s="616" t="s">
        <v>811</v>
      </c>
      <c r="D8" s="716"/>
      <c r="E8" s="716"/>
      <c r="F8" s="716"/>
      <c r="G8" s="716"/>
      <c r="H8" s="717"/>
      <c r="I8" s="159" t="s">
        <v>795</v>
      </c>
      <c r="J8" s="160" t="s">
        <v>728</v>
      </c>
    </row>
    <row r="9" spans="1:10" ht="13.5" customHeight="1">
      <c r="A9" s="1"/>
      <c r="B9" s="1"/>
      <c r="C9" s="720" t="s">
        <v>919</v>
      </c>
      <c r="D9" s="721"/>
      <c r="E9" s="722"/>
      <c r="F9" s="722"/>
      <c r="G9" s="722"/>
      <c r="H9" s="723"/>
      <c r="I9" s="719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240039.09750000003</v>
      </c>
      <c r="J9" s="718">
        <f>IF(COMANDOBLOQUEADO!$Z$15=2,RECEITAS!I32*#REF!/100-FUNDAMENTAL!I68,RECEITAS!I32*0.25-RECEITAS!I68)</f>
        <v>808769.5450000003</v>
      </c>
    </row>
    <row r="10" spans="1:10" ht="13.5" customHeight="1" thickBot="1">
      <c r="A10" s="1"/>
      <c r="B10" s="1"/>
      <c r="C10" s="724"/>
      <c r="D10" s="725"/>
      <c r="E10" s="725"/>
      <c r="F10" s="725"/>
      <c r="G10" s="725"/>
      <c r="H10" s="726"/>
      <c r="I10" s="625"/>
      <c r="J10" s="627"/>
    </row>
    <row r="11" spans="1:10" ht="18" customHeight="1">
      <c r="A11" s="1"/>
      <c r="B11" s="1"/>
      <c r="C11" s="161" t="s">
        <v>722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804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84780.4</v>
      </c>
      <c r="J12" s="322">
        <f>SUM(REPASSES!D24+REPASSES!G24+REPASSES!J24+REPASSES!D87+REPASSES!G87+REPASSES!J87+REPASSES!D149+REPASSES!G149+REPASSES!J149+REPASSES!D211+REPASSES!G211+REPASSES!J211)</f>
        <v>312462.52</v>
      </c>
    </row>
    <row r="13" spans="1:10" ht="18" customHeight="1">
      <c r="A13" s="1"/>
      <c r="B13" s="1"/>
      <c r="C13" s="97"/>
      <c r="D13" s="96" t="s">
        <v>805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95760.67</v>
      </c>
      <c r="J13" s="322">
        <f>SUM(REPASSES!D43+REPASSES!G43+REPASSES!J43+REPASSES!D106+REPASSES!G106+REPASSES!J106+REPASSES!D168+REPASSES!G168+REPASSES!J168+REPASSES!D230+REPASSES!G230+REPASSES!J230)</f>
        <v>286157.16000000003</v>
      </c>
    </row>
    <row r="14" spans="1:10" ht="18" customHeight="1" thickBot="1">
      <c r="A14" s="1"/>
      <c r="B14" s="1"/>
      <c r="C14" s="72"/>
      <c r="D14" s="96" t="s">
        <v>806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77324.81999999999</v>
      </c>
      <c r="J14" s="323">
        <f>SUM(REPASSES!D62+REPASSES!G62+REPASSES!J62+REPASSES!D125+REPASSES!G125+REPASSES!J125+REPASSES!D187+REPASSES!G187+REPASSES!J187+REPASSES!D249+REPASSES!G249+REPASSES!J249)</f>
        <v>325367.51</v>
      </c>
    </row>
    <row r="15" spans="1:10" ht="18" customHeight="1" thickBot="1">
      <c r="A15" s="1"/>
      <c r="B15" s="1"/>
      <c r="C15" s="161"/>
      <c r="D15" s="123" t="s">
        <v>724</v>
      </c>
      <c r="E15" s="123"/>
      <c r="F15" s="123"/>
      <c r="G15" s="123"/>
      <c r="H15" s="123"/>
      <c r="I15" s="164">
        <f>SUM(I12:I14)</f>
        <v>257865.89</v>
      </c>
      <c r="J15" s="158">
        <f>SUM(J12:J14)</f>
        <v>923987.1900000001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17826.79249999998</v>
      </c>
      <c r="J16" s="101">
        <f>J15-J9</f>
        <v>115217.64499999979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0" t="s">
        <v>754</v>
      </c>
      <c r="D20" s="711"/>
      <c r="E20" s="712"/>
      <c r="F20" s="712"/>
      <c r="G20" s="712"/>
      <c r="H20" s="712"/>
      <c r="I20" s="712"/>
      <c r="J20" s="713"/>
    </row>
    <row r="21" spans="1:10" ht="18" customHeight="1" thickBot="1">
      <c r="A21" s="1"/>
      <c r="B21" s="1"/>
      <c r="C21" s="92" t="s">
        <v>725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10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2005</v>
      </c>
      <c r="H21" s="168"/>
      <c r="I21" s="51" t="s">
        <v>714</v>
      </c>
      <c r="J21" s="52" t="s">
        <v>715</v>
      </c>
    </row>
    <row r="22" spans="1:10" ht="18" customHeight="1">
      <c r="A22" s="1"/>
      <c r="B22" s="1"/>
      <c r="C22" s="70"/>
      <c r="D22" s="695" t="s">
        <v>712</v>
      </c>
      <c r="E22" s="685"/>
      <c r="F22" s="685"/>
      <c r="G22" s="685"/>
      <c r="H22" s="686"/>
      <c r="I22" s="73" t="s">
        <v>1029</v>
      </c>
      <c r="J22" s="56">
        <v>42684.87</v>
      </c>
    </row>
    <row r="23" spans="1:10" ht="18" customHeight="1">
      <c r="A23" s="1"/>
      <c r="B23" s="1"/>
      <c r="C23" s="72"/>
      <c r="D23" s="689"/>
      <c r="E23" s="690"/>
      <c r="F23" s="690"/>
      <c r="G23" s="690"/>
      <c r="H23" s="691"/>
      <c r="I23" s="88"/>
      <c r="J23" s="55"/>
    </row>
    <row r="24" spans="1:10" ht="18" customHeight="1">
      <c r="A24" s="1"/>
      <c r="B24" s="1"/>
      <c r="C24" s="72"/>
      <c r="D24" s="689"/>
      <c r="E24" s="690"/>
      <c r="F24" s="690"/>
      <c r="G24" s="690"/>
      <c r="H24" s="691"/>
      <c r="I24" s="88"/>
      <c r="J24" s="55"/>
    </row>
    <row r="25" spans="1:10" ht="18" customHeight="1">
      <c r="A25" s="1"/>
      <c r="B25" s="1"/>
      <c r="C25" s="72"/>
      <c r="D25" s="689"/>
      <c r="E25" s="690"/>
      <c r="F25" s="690"/>
      <c r="G25" s="690"/>
      <c r="H25" s="691"/>
      <c r="I25" s="73"/>
      <c r="J25" s="56"/>
    </row>
    <row r="26" spans="1:10" ht="18" customHeight="1">
      <c r="A26" s="1"/>
      <c r="B26" s="1"/>
      <c r="C26" s="72"/>
      <c r="D26" s="689"/>
      <c r="E26" s="690"/>
      <c r="F26" s="690"/>
      <c r="G26" s="690"/>
      <c r="H26" s="691"/>
      <c r="I26" s="73"/>
      <c r="J26" s="56"/>
    </row>
    <row r="27" spans="1:10" ht="18" customHeight="1" thickBot="1">
      <c r="A27" s="1"/>
      <c r="B27" s="1"/>
      <c r="C27" s="72"/>
      <c r="D27" s="692"/>
      <c r="E27" s="693"/>
      <c r="F27" s="693"/>
      <c r="G27" s="693"/>
      <c r="H27" s="694"/>
      <c r="I27" s="90"/>
      <c r="J27" s="57"/>
    </row>
    <row r="28" spans="1:10" ht="18" customHeight="1" thickBot="1">
      <c r="A28" s="1"/>
      <c r="B28" s="1"/>
      <c r="C28" s="48"/>
      <c r="D28" s="75"/>
      <c r="E28" s="681" t="s">
        <v>758</v>
      </c>
      <c r="F28" s="681"/>
      <c r="G28" s="682"/>
      <c r="H28" s="682"/>
      <c r="I28" s="169"/>
      <c r="J28" s="64">
        <f>SUM(J22:J27)</f>
        <v>42684.87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1" t="s">
        <v>717</v>
      </c>
      <c r="D32" s="702"/>
      <c r="E32" s="703"/>
      <c r="F32" s="703"/>
      <c r="G32" s="703"/>
      <c r="H32" s="703"/>
      <c r="I32" s="703"/>
      <c r="J32" s="704"/>
    </row>
    <row r="33" spans="1:10" ht="18" customHeight="1" thickBot="1">
      <c r="A33" s="1"/>
      <c r="B33" s="1"/>
      <c r="C33" s="513" t="s">
        <v>808</v>
      </c>
      <c r="D33" s="705"/>
      <c r="E33" s="706"/>
      <c r="F33" s="706"/>
      <c r="G33" s="706"/>
      <c r="H33" s="706"/>
      <c r="I33" s="707"/>
      <c r="J33" s="52" t="s">
        <v>715</v>
      </c>
    </row>
    <row r="34" spans="1:10" ht="18" customHeight="1">
      <c r="A34" s="1"/>
      <c r="B34" s="1"/>
      <c r="C34" s="72"/>
      <c r="D34" s="53" t="s">
        <v>807</v>
      </c>
      <c r="E34" s="329"/>
      <c r="F34" s="329"/>
      <c r="G34" s="329"/>
      <c r="H34" s="329"/>
      <c r="I34" s="330"/>
      <c r="J34" s="331">
        <f>FUNDAMENTAL!H51+INFANTIL!H51</f>
        <v>945368.1499999999</v>
      </c>
    </row>
    <row r="35" spans="1:10" ht="18" customHeight="1" thickBot="1">
      <c r="A35" s="1"/>
      <c r="B35" s="1"/>
      <c r="C35" s="72"/>
      <c r="D35" s="696" t="s">
        <v>823</v>
      </c>
      <c r="E35" s="697"/>
      <c r="F35" s="697"/>
      <c r="G35" s="697"/>
      <c r="H35" s="697"/>
      <c r="I35" s="698"/>
      <c r="J35" s="209">
        <f>FUNDAMENTAL!I51+INFANTIL!I51</f>
        <v>935323.8399999999</v>
      </c>
    </row>
    <row r="36" spans="1:10" ht="18" customHeight="1" thickBot="1">
      <c r="A36" s="1"/>
      <c r="B36" s="1"/>
      <c r="C36" s="48"/>
      <c r="D36" s="681" t="s">
        <v>718</v>
      </c>
      <c r="E36" s="699"/>
      <c r="F36" s="699"/>
      <c r="G36" s="699"/>
      <c r="H36" s="699"/>
      <c r="I36" s="700"/>
      <c r="J36" s="101">
        <f>J34-J35</f>
        <v>10044.310000000056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32640.559999999947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0" t="s">
        <v>755</v>
      </c>
      <c r="D41" s="711"/>
      <c r="E41" s="712"/>
      <c r="F41" s="712"/>
      <c r="G41" s="712"/>
      <c r="H41" s="712"/>
      <c r="I41" s="712"/>
      <c r="J41" s="713"/>
    </row>
    <row r="42" spans="1:10" ht="15.75" thickBot="1">
      <c r="A42" s="1"/>
      <c r="B42" s="1"/>
      <c r="C42" s="92" t="s">
        <v>725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42" s="168" t="str">
        <f>COMANDOBLOQUEADO!Y6</f>
        <v>2005</v>
      </c>
      <c r="H42" s="168"/>
      <c r="I42" s="51" t="s">
        <v>714</v>
      </c>
      <c r="J42" s="52" t="s">
        <v>715</v>
      </c>
    </row>
    <row r="43" spans="1:10" ht="18" customHeight="1">
      <c r="A43" s="1"/>
      <c r="B43" s="1"/>
      <c r="C43" s="70"/>
      <c r="D43" s="695" t="s">
        <v>713</v>
      </c>
      <c r="E43" s="685"/>
      <c r="F43" s="685"/>
      <c r="G43" s="685"/>
      <c r="H43" s="686"/>
      <c r="I43" s="71" t="s">
        <v>1026</v>
      </c>
      <c r="J43" s="62">
        <v>200.07</v>
      </c>
    </row>
    <row r="44" spans="1:10" ht="18" customHeight="1">
      <c r="A44" s="1"/>
      <c r="B44" s="1"/>
      <c r="C44" s="72"/>
      <c r="D44" s="708" t="s">
        <v>756</v>
      </c>
      <c r="E44" s="592"/>
      <c r="F44" s="592"/>
      <c r="G44" s="592"/>
      <c r="H44" s="687"/>
      <c r="I44" s="88" t="s">
        <v>1027</v>
      </c>
      <c r="J44" s="55">
        <v>8582.69</v>
      </c>
    </row>
    <row r="45" spans="1:10" ht="18" customHeight="1">
      <c r="A45" s="1"/>
      <c r="B45" s="1"/>
      <c r="C45" s="72"/>
      <c r="D45" s="689" t="s">
        <v>1025</v>
      </c>
      <c r="E45" s="690"/>
      <c r="F45" s="690"/>
      <c r="G45" s="690"/>
      <c r="H45" s="691"/>
      <c r="I45" s="88" t="s">
        <v>1028</v>
      </c>
      <c r="J45" s="55">
        <v>209.85</v>
      </c>
    </row>
    <row r="46" spans="1:10" ht="18" customHeight="1">
      <c r="A46" s="1"/>
      <c r="B46" s="1"/>
      <c r="C46" s="72"/>
      <c r="D46" s="689"/>
      <c r="E46" s="690"/>
      <c r="F46" s="690"/>
      <c r="G46" s="690"/>
      <c r="H46" s="691"/>
      <c r="I46" s="73"/>
      <c r="J46" s="56"/>
    </row>
    <row r="47" spans="1:10" ht="18" customHeight="1">
      <c r="A47" s="1"/>
      <c r="B47" s="1"/>
      <c r="C47" s="72"/>
      <c r="D47" s="689"/>
      <c r="E47" s="690"/>
      <c r="F47" s="690"/>
      <c r="G47" s="690"/>
      <c r="H47" s="691"/>
      <c r="I47" s="73"/>
      <c r="J47" s="56"/>
    </row>
    <row r="48" spans="1:10" ht="18" customHeight="1" thickBot="1">
      <c r="A48" s="1"/>
      <c r="B48" s="1"/>
      <c r="C48" s="72"/>
      <c r="D48" s="692"/>
      <c r="E48" s="693"/>
      <c r="F48" s="693"/>
      <c r="G48" s="693"/>
      <c r="H48" s="694"/>
      <c r="I48" s="90"/>
      <c r="J48" s="57"/>
    </row>
    <row r="49" spans="1:10" ht="18" customHeight="1" thickBot="1">
      <c r="A49" s="1"/>
      <c r="B49" s="1"/>
      <c r="C49" s="48"/>
      <c r="D49" s="75" t="s">
        <v>716</v>
      </c>
      <c r="E49" s="335"/>
      <c r="F49" s="335"/>
      <c r="G49" s="335"/>
      <c r="H49" s="335"/>
      <c r="I49" s="170"/>
      <c r="J49" s="64">
        <f>SUM(J43:J48)</f>
        <v>8992.61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7"/>
      <c r="F51" s="537"/>
      <c r="G51" s="709"/>
      <c r="H51" s="709"/>
      <c r="I51" s="709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0" t="s">
        <v>757</v>
      </c>
      <c r="D53" s="711"/>
      <c r="E53" s="712"/>
      <c r="F53" s="712"/>
      <c r="G53" s="712"/>
      <c r="H53" s="712"/>
      <c r="I53" s="712"/>
      <c r="J53" s="713"/>
    </row>
    <row r="54" spans="1:10" ht="18" customHeight="1">
      <c r="A54" s="1"/>
      <c r="B54" s="1"/>
      <c r="C54" s="94"/>
      <c r="D54" s="684" t="s">
        <v>827</v>
      </c>
      <c r="E54" s="685"/>
      <c r="F54" s="685"/>
      <c r="G54" s="685"/>
      <c r="H54" s="685"/>
      <c r="I54" s="686"/>
      <c r="J54" s="62">
        <v>70342.1</v>
      </c>
    </row>
    <row r="55" spans="1:10" ht="18" customHeight="1">
      <c r="A55" s="1"/>
      <c r="B55" s="1"/>
      <c r="C55" s="79"/>
      <c r="D55" s="537" t="s">
        <v>828</v>
      </c>
      <c r="E55" s="592"/>
      <c r="F55" s="592"/>
      <c r="G55" s="592"/>
      <c r="H55" s="592"/>
      <c r="I55" s="687"/>
      <c r="J55" s="208">
        <f>RECEITAS!I60</f>
        <v>807883.8600000001</v>
      </c>
    </row>
    <row r="56" spans="1:10" ht="18" customHeight="1">
      <c r="A56" s="1"/>
      <c r="B56" s="1"/>
      <c r="C56" s="79"/>
      <c r="D56" s="688" t="s">
        <v>723</v>
      </c>
      <c r="E56" s="592"/>
      <c r="F56" s="408"/>
      <c r="G56" s="171"/>
      <c r="H56" s="171"/>
      <c r="I56" s="172"/>
      <c r="J56" s="78">
        <f>J54+J55</f>
        <v>878225.9600000001</v>
      </c>
    </row>
    <row r="57" spans="1:10" ht="18" customHeight="1">
      <c r="A57" s="1"/>
      <c r="B57" s="1"/>
      <c r="C57" s="79"/>
      <c r="D57" s="537" t="s">
        <v>829</v>
      </c>
      <c r="E57" s="592"/>
      <c r="F57" s="592"/>
      <c r="G57" s="592"/>
      <c r="H57" s="592"/>
      <c r="I57" s="687"/>
      <c r="J57" s="84">
        <f>FUNDEF!I28+FUNDEF!I55</f>
        <v>746410.1699999999</v>
      </c>
    </row>
    <row r="58" spans="1:10" ht="18" customHeight="1">
      <c r="A58" s="1"/>
      <c r="B58" s="1"/>
      <c r="C58" s="79"/>
      <c r="D58" s="688" t="s">
        <v>723</v>
      </c>
      <c r="E58" s="592"/>
      <c r="F58" s="592"/>
      <c r="G58" s="592"/>
      <c r="H58" s="592"/>
      <c r="I58" s="687"/>
      <c r="J58" s="80">
        <f>J56-J57</f>
        <v>131815.79000000015</v>
      </c>
    </row>
    <row r="59" spans="1:10" ht="18" customHeight="1" thickBot="1">
      <c r="A59" s="1"/>
      <c r="B59" s="1"/>
      <c r="C59" s="79"/>
      <c r="D59" s="95"/>
      <c r="E59" s="537"/>
      <c r="F59" s="537"/>
      <c r="G59" s="709"/>
      <c r="H59" s="709"/>
      <c r="I59" s="709"/>
      <c r="J59" s="173"/>
    </row>
    <row r="60" spans="1:10" ht="18" customHeight="1" thickBot="1">
      <c r="A60" s="1"/>
      <c r="B60" s="1"/>
      <c r="C60" s="79"/>
      <c r="D60" s="688" t="s">
        <v>759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09 /</v>
      </c>
      <c r="G60" s="174" t="str">
        <f>COMANDOBLOQUEADO!Y6</f>
        <v>2005</v>
      </c>
      <c r="H60" s="174" t="s">
        <v>1034</v>
      </c>
      <c r="I60" s="469" t="s">
        <v>1030</v>
      </c>
      <c r="J60" s="470">
        <v>144305.47</v>
      </c>
    </row>
    <row r="61" spans="1:10" ht="18" customHeight="1" thickBot="1">
      <c r="A61" s="1"/>
      <c r="B61" s="1"/>
      <c r="C61" s="93"/>
      <c r="D61" s="213"/>
      <c r="E61" s="714"/>
      <c r="F61" s="714"/>
      <c r="G61" s="697"/>
      <c r="H61" s="697"/>
      <c r="I61" s="697"/>
      <c r="J61" s="175"/>
    </row>
    <row r="62" spans="1:10" ht="18" customHeight="1" thickBot="1">
      <c r="A62" s="1"/>
      <c r="B62" s="1"/>
      <c r="C62" s="48"/>
      <c r="D62" s="681" t="str">
        <f>IF((J58-J60)&lt;=0,"DIFERENÇA A MAIOR","DIFERENÇA A MENOR")</f>
        <v>DIFERENÇA A MAIOR</v>
      </c>
      <c r="E62" s="682"/>
      <c r="F62" s="165"/>
      <c r="G62" s="75"/>
      <c r="H62" s="77"/>
      <c r="I62" s="77"/>
      <c r="J62" s="81">
        <f>J60-J58</f>
        <v>12489.679999999847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I55" sqref="I55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37</v>
      </c>
      <c r="D2" s="548" t="str">
        <f>COMANDOBLOQUEADO!S19</f>
        <v>CARDOSO</v>
      </c>
      <c r="E2" s="548"/>
      <c r="F2" s="732"/>
      <c r="G2" s="221"/>
      <c r="H2" s="221"/>
      <c r="I2" s="47" t="s">
        <v>59</v>
      </c>
      <c r="J2" s="221"/>
      <c r="K2" s="28" t="str">
        <f>COMANDOBLOQUEADO!U6</f>
        <v>3º TRIMESTRE</v>
      </c>
      <c r="L2" s="61" t="str">
        <f>COMANDOBLOQUEADO!Y6</f>
        <v>2005</v>
      </c>
    </row>
    <row r="3" spans="2:12" ht="24.75" customHeight="1">
      <c r="B3" s="758" t="s">
        <v>681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2:12" ht="12.75" customHeight="1" thickBot="1">
      <c r="B4" s="751"/>
      <c r="C4" s="751"/>
      <c r="D4" s="752"/>
      <c r="E4" s="752"/>
      <c r="F4" s="752"/>
      <c r="G4" s="752"/>
      <c r="H4" s="752"/>
      <c r="I4" s="752"/>
      <c r="J4" s="752"/>
      <c r="K4" s="752"/>
      <c r="L4" s="752"/>
    </row>
    <row r="5" spans="2:12" ht="15" customHeight="1" thickBot="1">
      <c r="B5" s="92" t="s">
        <v>763</v>
      </c>
      <c r="C5" s="265" t="s">
        <v>726</v>
      </c>
      <c r="D5" s="166"/>
      <c r="E5" s="166"/>
      <c r="F5" s="166"/>
      <c r="G5" s="734" t="s">
        <v>809</v>
      </c>
      <c r="H5" s="755"/>
      <c r="I5" s="734" t="s">
        <v>762</v>
      </c>
      <c r="J5" s="762"/>
      <c r="K5" s="734" t="s">
        <v>790</v>
      </c>
      <c r="L5" s="759"/>
    </row>
    <row r="6" spans="2:12" ht="15" customHeight="1">
      <c r="B6" s="97"/>
      <c r="C6" s="96" t="s">
        <v>727</v>
      </c>
      <c r="D6" s="96"/>
      <c r="E6" s="96"/>
      <c r="F6" s="69"/>
      <c r="G6" s="756">
        <f>IF(FUNDEF!H32="",IF(COMANDOBLOQUEADO!U6="1º TRIMESTRE",RECEITAS!E16,IF(COMANDOBLOQUEADO!U6="2º TRIMESTRE",RECEITAS!F16,IF(COMANDOBLOQUEADO!U6="3º TRIMESTRE",RECEITAS!G16,IF(COMANDOBLOQUEADO!U6="4º TRIMESTRE",RECEITAS!H16)))),"")</f>
        <v>173803.06999999998</v>
      </c>
      <c r="H6" s="756"/>
      <c r="I6" s="753">
        <f>IF(FUNDEF!H32="",RECEITAS!I16,"")</f>
        <v>591331.93</v>
      </c>
      <c r="J6" s="747"/>
      <c r="K6" s="741">
        <f>IF(FUNDEF!H32="",RECEITAS!D16,"")</f>
        <v>745500</v>
      </c>
      <c r="L6" s="742"/>
    </row>
    <row r="7" spans="2:12" ht="15" customHeight="1">
      <c r="B7" s="97"/>
      <c r="C7" s="96" t="s">
        <v>760</v>
      </c>
      <c r="D7" s="96"/>
      <c r="E7" s="96"/>
      <c r="F7" s="69"/>
      <c r="G7" s="776">
        <f>IF(FUNDEF!H32="",IF(COMANDOBLOQUEADO!U6="1º TRIMESTRE",RECEITAS!E23,IF(COMANDOBLOQUEADO!U6="2º TRIMESTRE",RECEITAS!F23,IF(COMANDOBLOQUEADO!U6="3º TRIMESTRE",RECEITAS!G23,IF(COMANDOBLOQUEADO!U6="4º TRIMESTRE",RECEITAS!H23)))),"")</f>
        <v>823293.9900000001</v>
      </c>
      <c r="H7" s="776"/>
      <c r="I7" s="737">
        <f>IF(FUNDEF!H32="",RECEITAS!I23,"")</f>
        <v>2791569.0200000005</v>
      </c>
      <c r="J7" s="738"/>
      <c r="K7" s="743">
        <f>IF(FUNDEF!H32="",RECEITAS!D23,"")</f>
        <v>3528000</v>
      </c>
      <c r="L7" s="744"/>
    </row>
    <row r="8" spans="2:12" ht="15" customHeight="1" thickBot="1">
      <c r="B8" s="72"/>
      <c r="C8" s="53" t="s">
        <v>761</v>
      </c>
      <c r="D8" s="53"/>
      <c r="E8" s="53"/>
      <c r="F8" s="270"/>
      <c r="G8" s="777">
        <f>IF(FUNDEF!H32="",IF(COMANDOBLOQUEADO!U6="1º TRIMESTRE",RECEITAS!E31,IF(COMANDOBLOQUEADO!U6="2º TRIMESTRE",RECEITAS!F31,IF(COMANDOBLOQUEADO!U6="3º TRIMESTRE",RECEITAS!G31,IF(COMANDOBLOQUEADO!U6="4º TRIMESTRE",RECEITAS!H31)))),"")</f>
        <v>1092421.85</v>
      </c>
      <c r="H8" s="777"/>
      <c r="I8" s="739">
        <f>IF(FUNDEF!H32="",RECEITAS!I31,"")</f>
        <v>3397088.3500000006</v>
      </c>
      <c r="J8" s="740"/>
      <c r="K8" s="745">
        <f>IF(FUNDEF!H32="",RECEITAS!D31,"")</f>
        <v>4400000</v>
      </c>
      <c r="L8" s="746"/>
    </row>
    <row r="9" spans="2:12" ht="15" customHeight="1" thickBot="1">
      <c r="B9" s="92"/>
      <c r="C9" s="75" t="s">
        <v>796</v>
      </c>
      <c r="D9" s="75"/>
      <c r="E9" s="75"/>
      <c r="F9" s="75"/>
      <c r="G9" s="757">
        <f>IF(FUNDEF!H32="",SUM(G6:H8),"")</f>
        <v>2089518.9100000001</v>
      </c>
      <c r="H9" s="757"/>
      <c r="I9" s="760">
        <f>IF(FUNDEF!H32="",SUM(I6:J8),"")</f>
        <v>6779989.300000001</v>
      </c>
      <c r="J9" s="763"/>
      <c r="K9" s="760">
        <f>IF(FUNDEF!H32="",SUM(K6:L8),"")</f>
        <v>8673500</v>
      </c>
      <c r="L9" s="761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764</v>
      </c>
      <c r="C11" s="727" t="s">
        <v>847</v>
      </c>
      <c r="D11" s="728"/>
      <c r="E11" s="728"/>
      <c r="F11" s="728"/>
      <c r="G11" s="729">
        <f>IF(FUNDEF!$H$32="",IF(COMANDOBLOQUEADO!$Z$15=2,G9*MENU!L13/100,G9*0.25),"")</f>
        <v>522379.72750000004</v>
      </c>
      <c r="H11" s="730"/>
      <c r="I11" s="729">
        <f>IF(FUNDEF!$H$32="",IF(COMANDOBLOQUEADO!$Z$15=2,I9*MENU!L13/100,I9*0.25),"")</f>
        <v>1694997.3250000002</v>
      </c>
      <c r="J11" s="730"/>
      <c r="K11" s="729">
        <f>IF(FUNDEF!$H$32="",IF(COMANDOBLOQUEADO!$Z$15=2,K9*MENU!L13/100,K9*0.25),"")</f>
        <v>2168375</v>
      </c>
      <c r="L11" s="731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4"/>
      <c r="J12" s="754"/>
      <c r="K12" s="754"/>
      <c r="L12" s="754"/>
    </row>
    <row r="13" spans="2:12" ht="15" customHeight="1" thickBot="1">
      <c r="B13" s="92" t="s">
        <v>770</v>
      </c>
      <c r="C13" s="265" t="s">
        <v>765</v>
      </c>
      <c r="D13" s="166"/>
      <c r="E13" s="166"/>
      <c r="F13" s="166"/>
      <c r="G13" s="734" t="s">
        <v>809</v>
      </c>
      <c r="H13" s="755"/>
      <c r="I13" s="734" t="s">
        <v>762</v>
      </c>
      <c r="J13" s="762"/>
      <c r="K13" s="734" t="s">
        <v>790</v>
      </c>
      <c r="L13" s="759"/>
    </row>
    <row r="14" spans="2:12" ht="15" customHeight="1">
      <c r="B14" s="272"/>
      <c r="C14" s="215" t="s">
        <v>767</v>
      </c>
      <c r="D14" s="215"/>
      <c r="E14" s="215"/>
      <c r="F14" s="215"/>
      <c r="G14" s="756">
        <f>IF(FUNDEF!H32="",IF(COMANDOBLOQUEADO!U6="1º TRIMESTRE",RECEITAS!E39,IF(COMANDOBLOQUEADO!U6="2º TRIMESTRE",RECEITAS!F39,IF(COMANDOBLOQUEADO!U6="3º TRIMESTRE",RECEITAS!G39,IF(COMANDOBLOQUEADO!U6="4º TRIMESTRE",RECEITAS!H39)))),"")</f>
        <v>1692.16</v>
      </c>
      <c r="H14" s="756"/>
      <c r="I14" s="741">
        <f>IF(FUNDEF!H32="",RECEITAS!I39,"")</f>
        <v>5353.16</v>
      </c>
      <c r="J14" s="747"/>
      <c r="K14" s="766">
        <f>IF(FUNDEF!H32="",RECEITAS!D39,"")</f>
        <v>6000</v>
      </c>
      <c r="L14" s="767"/>
    </row>
    <row r="15" spans="2:12" ht="15" customHeight="1">
      <c r="B15" s="97"/>
      <c r="C15" s="96" t="s">
        <v>768</v>
      </c>
      <c r="D15" s="96"/>
      <c r="E15" s="96"/>
      <c r="F15" s="96"/>
      <c r="G15" s="776">
        <f>IF(FUNDEF!H32="",IF(COMANDOBLOQUEADO!U6="1º TRIMESTRE",RECEITAS!E55,IF(COMANDOBLOQUEADO!U6="2º TRIMESTRE",RECEITAS!F55,IF(COMANDOBLOQUEADO!U6="3º TRIMESTRE",RECEITAS!G55,IF(COMANDOBLOQUEADO!U6="4º TRIMESTRE",RECEITAS!H55)))),"")</f>
        <v>72989.17</v>
      </c>
      <c r="H15" s="776"/>
      <c r="I15" s="741">
        <f>IF(FUNDEF!H32="",RECEITAS!I55,"")</f>
        <v>233750.54</v>
      </c>
      <c r="J15" s="747"/>
      <c r="K15" s="741">
        <f>IF(FUNDEF!H32="",RECEITAS!D55,"")</f>
        <v>415000</v>
      </c>
      <c r="L15" s="742"/>
    </row>
    <row r="16" spans="2:12" ht="15" customHeight="1">
      <c r="B16" s="97"/>
      <c r="C16" s="96" t="s">
        <v>39</v>
      </c>
      <c r="D16" s="96"/>
      <c r="E16" s="96"/>
      <c r="F16" s="96"/>
      <c r="G16" s="776">
        <f>IF(FUNDEF!H32="",IF(COMANDOBLOQUEADO!U6="1º TRIMESTRE",RECEITAS!E60,IF(COMANDOBLOQUEADO!U6="2º TRIMESTRE",RECEITAS!F60,IF(COMANDOBLOQUEADO!U6="3º TRIMESTRE",RECEITAS!G60,IF(COMANDOBLOQUEADO!U6="4º TRIMESTRE",RECEITAS!H60)))),"")</f>
        <v>271049.1</v>
      </c>
      <c r="H16" s="776"/>
      <c r="I16" s="741">
        <f>IF(FUNDEF!H32="",RECEITAS!I60,"")</f>
        <v>807883.8600000001</v>
      </c>
      <c r="J16" s="747"/>
      <c r="K16" s="741">
        <f>IF(FUNDEF!H32="",RECEITAS!D60,"")</f>
        <v>1106000</v>
      </c>
      <c r="L16" s="742"/>
    </row>
    <row r="17" spans="2:12" ht="15" customHeight="1" thickBot="1">
      <c r="B17" s="93"/>
      <c r="C17" s="213" t="s">
        <v>769</v>
      </c>
      <c r="D17" s="213"/>
      <c r="E17" s="213"/>
      <c r="F17" s="273"/>
      <c r="G17" s="777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7"/>
      <c r="I17" s="745">
        <f>IF(FUNDEF!H32="",RECEITAS!I65,"")</f>
        <v>0</v>
      </c>
      <c r="J17" s="740"/>
      <c r="K17" s="764">
        <f>IF(FUNDEF!H32="",RECEITAS!D65,"")</f>
        <v>0</v>
      </c>
      <c r="L17" s="765"/>
    </row>
    <row r="18" spans="2:12" ht="15" customHeight="1" thickBot="1">
      <c r="B18" s="92"/>
      <c r="C18" s="75" t="s">
        <v>766</v>
      </c>
      <c r="D18" s="75"/>
      <c r="E18" s="75"/>
      <c r="F18" s="75"/>
      <c r="G18" s="770">
        <f>IF(FUNDEF!H32="",SUM(G14:H17),"")</f>
        <v>345730.43</v>
      </c>
      <c r="H18" s="770"/>
      <c r="I18" s="760">
        <f>IF(FUNDEF!H32="",SUM(I14:J17),"")</f>
        <v>1046987.56</v>
      </c>
      <c r="J18" s="763"/>
      <c r="K18" s="760">
        <f>IF(FUNDEF!H32="",SUM(K14:L17),"")</f>
        <v>1527000</v>
      </c>
      <c r="L18" s="761"/>
    </row>
    <row r="19" spans="2:12" ht="15" customHeight="1" thickBot="1">
      <c r="B19" s="92"/>
      <c r="C19" s="75" t="s">
        <v>846</v>
      </c>
      <c r="D19" s="75"/>
      <c r="E19" s="75"/>
      <c r="F19" s="75"/>
      <c r="G19" s="770">
        <f>IF(FUNDEF!H32="",G11+G18,"")</f>
        <v>868110.1575</v>
      </c>
      <c r="H19" s="770"/>
      <c r="I19" s="760">
        <f>IF(FUNDEF!H32="",I11+I18,"")</f>
        <v>2741984.8850000002</v>
      </c>
      <c r="J19" s="763"/>
      <c r="K19" s="760">
        <f>IF(FUNDEF!H32="",K11+K18,"")</f>
        <v>3695375</v>
      </c>
      <c r="L19" s="761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773</v>
      </c>
      <c r="C21" s="705" t="s">
        <v>793</v>
      </c>
      <c r="D21" s="769"/>
      <c r="E21" s="769"/>
      <c r="F21" s="769"/>
      <c r="G21" s="266" t="s">
        <v>795</v>
      </c>
      <c r="H21" s="266" t="s">
        <v>729</v>
      </c>
      <c r="I21" s="266" t="s">
        <v>728</v>
      </c>
      <c r="J21" s="266" t="s">
        <v>729</v>
      </c>
      <c r="K21" s="266" t="s">
        <v>775</v>
      </c>
      <c r="L21" s="274" t="s">
        <v>729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787</v>
      </c>
      <c r="C23" s="95" t="s">
        <v>984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114174.53999999998</v>
      </c>
      <c r="H23" s="280">
        <f>IF(FUNDEF!H32="",G23/G9*100,"")</f>
        <v>5.464154425862553</v>
      </c>
      <c r="I23" s="280">
        <f>IF(FUNDEF!H32="",INFANTIL!H51,"")</f>
        <v>328432.75</v>
      </c>
      <c r="J23" s="280">
        <f>IF(FUNDEF!H32="",I23/I9*100,"")</f>
        <v>4.844148500352353</v>
      </c>
      <c r="K23" s="280">
        <f>IF(FUNDEF!H32="",INFANTIL!I51,"")</f>
        <v>296193.79</v>
      </c>
      <c r="L23" s="281">
        <f>IF(FUNDEF!H32="",K23/I9*100,"")</f>
        <v>4.368646864973665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788</v>
      </c>
      <c r="C25" s="95" t="s">
        <v>781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785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189444.22000000006</v>
      </c>
      <c r="H26" s="282"/>
      <c r="I26" s="269">
        <f>IF(FUNDEF!H32="",FUNDAMENTAL!H51,"")</f>
        <v>616935.3999999999</v>
      </c>
      <c r="J26" s="246"/>
      <c r="K26" s="269">
        <f>IF(FUNDEF!H32="",FUNDAMENTAL!I51,"")</f>
        <v>639130.0499999998</v>
      </c>
      <c r="L26" s="247"/>
    </row>
    <row r="27" spans="2:12" ht="15" customHeight="1">
      <c r="B27" s="97"/>
      <c r="C27" s="96" t="s">
        <v>830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197950.34</v>
      </c>
      <c r="H27" s="246"/>
      <c r="I27" s="269">
        <f>IF(FUNDEF!H32="",FUNDEF!H30,"")</f>
        <v>729378.45</v>
      </c>
      <c r="J27" s="246"/>
      <c r="K27" s="269">
        <f>IF(FUNDEF!H32="",FUNDEF!I30,"")</f>
        <v>667904.7599999999</v>
      </c>
      <c r="L27" s="247"/>
    </row>
    <row r="28" spans="2:12" ht="15" customHeight="1">
      <c r="B28" s="79"/>
      <c r="C28" s="95" t="s">
        <v>786</v>
      </c>
      <c r="D28" s="95"/>
      <c r="E28" s="95"/>
      <c r="F28" s="95"/>
      <c r="G28" s="283">
        <f>IF(FUNDEF!H32="",G26+G27,"")</f>
        <v>387394.56000000006</v>
      </c>
      <c r="H28" s="246"/>
      <c r="I28" s="283">
        <f>IF(FUNDEF!H32="",SUM(I26:I27),"")</f>
        <v>1346313.8499999999</v>
      </c>
      <c r="J28" s="246"/>
      <c r="K28" s="283">
        <f>IF(FUNDEF!H32="",SUM(K26:K27),"")</f>
        <v>1307034.8099999996</v>
      </c>
      <c r="L28" s="247"/>
    </row>
    <row r="29" spans="2:12" ht="15" customHeight="1">
      <c r="B29" s="284" t="s">
        <v>783</v>
      </c>
      <c r="C29" s="768" t="s">
        <v>905</v>
      </c>
      <c r="D29" s="768"/>
      <c r="E29" s="768"/>
      <c r="F29" s="768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14048.190000000002</v>
      </c>
      <c r="H29" s="246"/>
      <c r="I29" s="285">
        <f>IF(FUNDEF!H32="",IF(RECEITAS!I68&gt;RECEITAS!I58,RECEITAS!I68-RECEITAS!I58,0),"")</f>
        <v>86507.22999999986</v>
      </c>
      <c r="J29" s="246"/>
      <c r="K29" s="285">
        <f>IF(FUNDEF!H32="",IF(RECEITAS!I68&gt;RECEITAS!I58,RECEITAS!I68-RECEITAS!I58,0),"")</f>
        <v>86507.22999999986</v>
      </c>
      <c r="L29" s="247"/>
    </row>
    <row r="30" spans="2:12" ht="15" customHeight="1" thickBot="1">
      <c r="B30" s="284" t="s">
        <v>782</v>
      </c>
      <c r="C30" s="96" t="s">
        <v>784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771</v>
      </c>
      <c r="D31" s="95"/>
      <c r="E31" s="95"/>
      <c r="F31" s="96"/>
      <c r="G31" s="286">
        <f>IF(FUNDEF!H32="",G28+G29-G30,"")</f>
        <v>401442.75000000006</v>
      </c>
      <c r="H31" s="287">
        <f>IF(FUNDEF!H32="",G31/G9*100,"")</f>
        <v>19.212209474572308</v>
      </c>
      <c r="I31" s="288">
        <f>IF(FUNDEF!H32="",I28+I29-I30,"")</f>
        <v>1432821.0799999996</v>
      </c>
      <c r="J31" s="287">
        <f>IF(FUNDEF!H32="",I31/I9*100,"")</f>
        <v>21.133087628914097</v>
      </c>
      <c r="K31" s="288">
        <f>IF(FUNDEF!H32="",K28+K29-K30,"")</f>
        <v>1393542.0399999996</v>
      </c>
      <c r="L31" s="289">
        <f>IF(FUNDEF!H32="",K31/I9*100,"")</f>
        <v>20.553749841463606</v>
      </c>
    </row>
    <row r="32" spans="2:12" ht="15" customHeight="1">
      <c r="B32" s="97"/>
      <c r="C32" s="96" t="s">
        <v>772</v>
      </c>
      <c r="D32" s="96"/>
      <c r="E32" s="96"/>
      <c r="F32" s="96"/>
      <c r="G32" s="267">
        <f>IF(FUNDEF!H32="",G11*0.6,"")</f>
        <v>313427.83650000003</v>
      </c>
      <c r="H32" s="290">
        <f>IF(FUNDEF!H32="",G32/G9*100,"")</f>
        <v>15</v>
      </c>
      <c r="I32" s="267">
        <f>IF(FUNDEF!H32="",I11*0.6,"")</f>
        <v>1016998.395</v>
      </c>
      <c r="J32" s="290">
        <f>IF(FUNDEF!H32="",I32/I9*100,"")</f>
        <v>15</v>
      </c>
      <c r="K32" s="267">
        <f>IF(FUNDEF!H32="",I11*0.6,"")</f>
        <v>1016998.395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88014.91350000002</v>
      </c>
      <c r="H33" s="241">
        <f>IF(FUNDEF!H32="",H31-H32,"")</f>
        <v>4.212209474572308</v>
      </c>
      <c r="I33" s="283">
        <f>IF(FUNDEF!H32="",I31-I32,"")</f>
        <v>415822.6849999996</v>
      </c>
      <c r="J33" s="241">
        <f>IF(FUNDEF!H32="",J31-J32,"")</f>
        <v>6.133087628914097</v>
      </c>
      <c r="K33" s="283">
        <f>IF(FUNDEF!H32="",K31-K32,"")</f>
        <v>376543.64499999955</v>
      </c>
      <c r="L33" s="80">
        <f>IF(FUNDEF!H32="",L31-L32,"")</f>
        <v>5.553749841463606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789</v>
      </c>
      <c r="C35" s="95" t="s">
        <v>794</v>
      </c>
      <c r="D35" s="95"/>
      <c r="E35" s="95"/>
      <c r="F35" s="95"/>
      <c r="G35" s="288">
        <f>IF(FUNDEF!H32="",G23+G31,"")</f>
        <v>515617.29000000004</v>
      </c>
      <c r="H35" s="287">
        <f>IF(FUNDEF!H32="",G35/G9*100,"")</f>
        <v>24.67636390043486</v>
      </c>
      <c r="I35" s="288">
        <f>IF(FUNDEF!H32="",I23+I31,"")</f>
        <v>1761253.8299999996</v>
      </c>
      <c r="J35" s="287">
        <f>IF(FUNDEF!H32="",I35/I9*100,"")</f>
        <v>25.97723612926645</v>
      </c>
      <c r="K35" s="288">
        <f>IF(FUNDEF!H32="",K23+K31,"")</f>
        <v>1689735.8299999996</v>
      </c>
      <c r="L35" s="289">
        <f>IF(FUNDEF!H32="",K35/I9*100,"")</f>
        <v>24.922396706437272</v>
      </c>
    </row>
    <row r="36" spans="2:12" ht="15" customHeight="1">
      <c r="B36" s="97"/>
      <c r="C36" s="96" t="s">
        <v>774</v>
      </c>
      <c r="D36" s="96"/>
      <c r="E36" s="96"/>
      <c r="F36" s="96"/>
      <c r="G36" s="267">
        <f>IF(FUNDEF!H32="",G11,"")</f>
        <v>522379.72750000004</v>
      </c>
      <c r="H36" s="290">
        <f>IF(FUNDEF!H32="",G36/G9*100,"")</f>
        <v>25</v>
      </c>
      <c r="I36" s="267">
        <f>IF(FUNDEF!H32="",I11,"")</f>
        <v>1694997.3250000002</v>
      </c>
      <c r="J36" s="290">
        <f>IF(FUNDEF!H32="",I36/I9*100,"")</f>
        <v>25</v>
      </c>
      <c r="K36" s="267">
        <f>IF(FUNDEF!H32="",I11,"")</f>
        <v>1694997.3250000002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-6762.4375</v>
      </c>
      <c r="H37" s="241">
        <f>IF(FUNDEF!H32="",H35-H36,"")</f>
        <v>-0.32363609956513884</v>
      </c>
      <c r="I37" s="283">
        <f>IF(FUNDEF!H32="",I35-I36,"")</f>
        <v>66256.50499999942</v>
      </c>
      <c r="J37" s="241">
        <f>IF(FUNDEF!H32="",J35-J36,"")</f>
        <v>0.9772361292664513</v>
      </c>
      <c r="K37" s="283">
        <f>IF(FUNDEF!H32="",K35-K36,"")</f>
        <v>-5261.495000000577</v>
      </c>
      <c r="L37" s="80">
        <f>IF(FUNDEF!H32="",L35-L36,"")</f>
        <v>-0.07760329356272777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  <v>0</v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776</v>
      </c>
      <c r="C40" s="265" t="s">
        <v>730</v>
      </c>
      <c r="D40" s="265"/>
      <c r="E40" s="265"/>
      <c r="F40" s="298"/>
      <c r="G40" s="266" t="s">
        <v>795</v>
      </c>
      <c r="H40" s="266" t="s">
        <v>729</v>
      </c>
      <c r="I40" s="266" t="s">
        <v>728</v>
      </c>
      <c r="J40" s="266" t="s">
        <v>729</v>
      </c>
      <c r="K40" s="266" t="s">
        <v>797</v>
      </c>
      <c r="L40" s="274" t="s">
        <v>729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777</v>
      </c>
      <c r="C42" s="95" t="s">
        <v>735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271049.1</v>
      </c>
      <c r="H42" s="241">
        <f>IF(FUNDEF!H32="",100,"")</f>
        <v>100</v>
      </c>
      <c r="I42" s="241">
        <f>IF(FUNDEF!H32="",RECEITAS!I60,"")</f>
        <v>807883.8600000001</v>
      </c>
      <c r="J42" s="241">
        <f>IF(FUNDEF!H32="",100,"")</f>
        <v>100</v>
      </c>
      <c r="K42" s="241">
        <f>IF(FUNDEF!H32="",RECEITAS!I60,"")</f>
        <v>807883.8600000001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778</v>
      </c>
      <c r="C44" s="95" t="s">
        <v>734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791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177241.53</v>
      </c>
      <c r="H45" s="287">
        <f>IF(FUNDEF!H32="",G45/G42*100,"")</f>
        <v>65.39093101581966</v>
      </c>
      <c r="I45" s="287">
        <f>IF(FUNDEF!H32="",FUNDEF!H15,"")</f>
        <v>527879.0800000001</v>
      </c>
      <c r="J45" s="287">
        <f>IF(FUNDEF!H32="",I45/I42*100,"")</f>
        <v>65.34096126143676</v>
      </c>
      <c r="K45" s="287">
        <f>IF(FUNDEF!H32="",FUNDEF!I15,"")</f>
        <v>476702.36</v>
      </c>
      <c r="L45" s="289">
        <f>IF(FUNDEF!H32="",K45/K42*100,"")</f>
        <v>59.0062982567816</v>
      </c>
    </row>
    <row r="46" spans="2:12" ht="15" customHeight="1" thickBot="1">
      <c r="B46" s="97"/>
      <c r="C46" s="95" t="s">
        <v>792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23465.469999999998</v>
      </c>
      <c r="H46" s="304">
        <f>IF(FUNDEF!H32="",G46/G42*100,"")</f>
        <v>8.65727648606839</v>
      </c>
      <c r="I46" s="304">
        <f>IF(FUNDEF!H32="",FUNDEF!H27,"")</f>
        <v>209662.68</v>
      </c>
      <c r="J46" s="304">
        <f>IF(FUNDEF!H32="",I46/I42*100,"")</f>
        <v>25.952081775714635</v>
      </c>
      <c r="K46" s="304">
        <f>IF(FUNDEF!H32="",FUNDEF!I27,"")</f>
        <v>199365.71</v>
      </c>
      <c r="L46" s="305">
        <f>IF(FUNDEF!H32="",K46/K42*100,"")</f>
        <v>24.677521098143977</v>
      </c>
    </row>
    <row r="47" spans="2:12" ht="15" customHeight="1">
      <c r="B47" s="97"/>
      <c r="C47" s="96" t="s">
        <v>779</v>
      </c>
      <c r="D47" s="96"/>
      <c r="E47" s="96"/>
      <c r="F47" s="96"/>
      <c r="G47" s="290">
        <f>IF(FUNDEF!H32="",G45+G46,"")</f>
        <v>200707</v>
      </c>
      <c r="H47" s="290">
        <f>IF(FUNDEF!H32="",H45+H46,"")</f>
        <v>74.04820750188804</v>
      </c>
      <c r="I47" s="290">
        <f>IF(FUNDEF!H32="",I45+I46,"")</f>
        <v>737541.76</v>
      </c>
      <c r="J47" s="290">
        <f>IF(FUNDEF!H32="",J45+J46,"")</f>
        <v>91.29304303715139</v>
      </c>
      <c r="K47" s="290">
        <f>IF(FUNDEF!H32="",K45+K46,"")</f>
        <v>676068.07</v>
      </c>
      <c r="L47" s="253">
        <f>IF(FUNDEF!H32="",L45+L46,"")</f>
        <v>83.68381935492557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70342.09999999998</v>
      </c>
      <c r="H48" s="244"/>
      <c r="I48" s="241">
        <f>IF(FUNDEF!H32="",I42-I47,"")</f>
        <v>70342.1000000001</v>
      </c>
      <c r="J48" s="244"/>
      <c r="K48" s="241">
        <f>IF(FUNDEF!H32="",K42-K47,"")</f>
        <v>131815.79000000015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780</v>
      </c>
      <c r="C51" s="265" t="s">
        <v>731</v>
      </c>
      <c r="D51" s="265"/>
      <c r="E51" s="265"/>
      <c r="F51" s="265"/>
      <c r="G51" s="733"/>
      <c r="H51" s="733"/>
      <c r="I51" s="734" t="s">
        <v>795</v>
      </c>
      <c r="J51" s="771"/>
      <c r="K51" s="734" t="s">
        <v>728</v>
      </c>
      <c r="L51" s="735"/>
    </row>
    <row r="52" spans="2:12" ht="15" customHeight="1">
      <c r="B52" s="79"/>
      <c r="C52" s="95" t="s">
        <v>732</v>
      </c>
      <c r="D52" s="95"/>
      <c r="E52" s="95"/>
      <c r="F52" s="95"/>
      <c r="G52" s="307"/>
      <c r="H52" s="307"/>
      <c r="I52" s="775"/>
      <c r="J52" s="775"/>
      <c r="K52" s="773"/>
      <c r="L52" s="774"/>
    </row>
    <row r="53" spans="2:12" ht="15" customHeight="1">
      <c r="B53" s="97"/>
      <c r="C53" s="537" t="s">
        <v>879</v>
      </c>
      <c r="D53" s="537"/>
      <c r="E53" s="537"/>
      <c r="F53" s="537"/>
      <c r="G53" s="537"/>
      <c r="H53" s="537"/>
      <c r="I53" s="743">
        <f>IF(FUNDEF!H32="",FINANCEIRO!I15,"")</f>
        <v>257865.89</v>
      </c>
      <c r="J53" s="743"/>
      <c r="K53" s="743">
        <f>IF(FUNDEF!H32="",FINANCEIRO!J15,"")</f>
        <v>923987.1900000001</v>
      </c>
      <c r="L53" s="748"/>
    </row>
    <row r="54" spans="2:12" ht="15" customHeight="1">
      <c r="B54" s="97"/>
      <c r="C54" s="537" t="s">
        <v>910</v>
      </c>
      <c r="D54" s="537"/>
      <c r="E54" s="537"/>
      <c r="F54" s="537"/>
      <c r="G54" s="537"/>
      <c r="H54" s="537"/>
      <c r="I54" s="743">
        <f>IF(FUNDEF!H32="",FINANCEIRO!I9,"")</f>
        <v>240039.09750000003</v>
      </c>
      <c r="J54" s="743"/>
      <c r="K54" s="743">
        <f>IF(FUNDEF!H32="",FINANCEIRO!J9,"")</f>
        <v>808769.5450000003</v>
      </c>
      <c r="L54" s="748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72"/>
      <c r="H55" s="772"/>
      <c r="I55" s="749">
        <f>IF(FUNDEF!H32="",I53-I54,"")</f>
        <v>17826.79249999998</v>
      </c>
      <c r="J55" s="749"/>
      <c r="K55" s="749">
        <f>IF(FUNDEF!H32="",K53-K54,"")</f>
        <v>115217.64499999979</v>
      </c>
      <c r="L55" s="750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6"/>
      <c r="C59" s="736"/>
      <c r="D59" s="736"/>
      <c r="E59" s="736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5" t="s">
        <v>989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9.75" customHeight="1">
      <c r="A3" s="1"/>
      <c r="B3" s="555"/>
      <c r="C3" s="790"/>
      <c r="D3" s="790"/>
      <c r="E3" s="790"/>
      <c r="F3" s="790"/>
      <c r="G3" s="790"/>
      <c r="H3" s="790"/>
      <c r="I3" s="790"/>
      <c r="J3" s="790"/>
      <c r="K3" s="363"/>
      <c r="L3" s="363"/>
      <c r="M3" s="363"/>
      <c r="N3" s="363"/>
    </row>
    <row r="4" spans="1:14" ht="15.75">
      <c r="A4" s="1"/>
      <c r="B4" s="791" t="s">
        <v>37</v>
      </c>
      <c r="C4" s="791"/>
      <c r="D4" s="792" t="str">
        <f>COMANDOBLOQUEADO!S19</f>
        <v>CARDOSO</v>
      </c>
      <c r="E4" s="792"/>
      <c r="F4" s="792"/>
      <c r="G4" s="792"/>
      <c r="H4" s="792"/>
      <c r="I4" s="25"/>
      <c r="J4" s="25"/>
      <c r="K4" s="107" t="s">
        <v>976</v>
      </c>
      <c r="L4" s="107" t="str">
        <f>COMANDOBLOQUEADO!U6</f>
        <v>3º TRIMESTRE</v>
      </c>
      <c r="M4" s="364" t="s">
        <v>975</v>
      </c>
      <c r="N4" s="107" t="str">
        <f>COMANDOBLOQUEADO!Y6</f>
        <v>2005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970</v>
      </c>
    </row>
    <row r="6" spans="1:14" ht="15.75" customHeight="1">
      <c r="A6" s="1"/>
      <c r="B6" s="778" t="s">
        <v>925</v>
      </c>
      <c r="C6" s="781"/>
      <c r="D6" s="781"/>
      <c r="E6" s="781"/>
      <c r="F6" s="781"/>
      <c r="G6" s="365" t="s">
        <v>922</v>
      </c>
      <c r="H6" s="366" t="s">
        <v>923</v>
      </c>
      <c r="I6" s="4"/>
      <c r="J6" s="778" t="s">
        <v>924</v>
      </c>
      <c r="K6" s="779"/>
      <c r="L6" s="779"/>
      <c r="M6" s="365" t="s">
        <v>922</v>
      </c>
      <c r="N6" s="366" t="s">
        <v>923</v>
      </c>
    </row>
    <row r="7" spans="1:14" ht="6.75" customHeight="1">
      <c r="A7" s="1"/>
      <c r="B7" s="780"/>
      <c r="C7" s="553"/>
      <c r="D7" s="553"/>
      <c r="E7" s="553"/>
      <c r="F7" s="553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0" t="s">
        <v>942</v>
      </c>
      <c r="C8" s="553"/>
      <c r="D8" s="553"/>
      <c r="E8" s="553"/>
      <c r="F8" s="553"/>
      <c r="G8" s="369">
        <f>IF(COMANDOBLOQUEADO!U6="1º TRIMESTRE",RECEITAS!E9,IF(COMANDOBLOQUEADO!U6="2º TRIMESTRE",RECEITAS!F9,IF(COMANDOBLOQUEADO!U6="3º TRIMESTRE",RECEITAS!G9,RECEITAS!H9)))</f>
        <v>34571.85</v>
      </c>
      <c r="H8" s="370">
        <f>RECEITAS!I9</f>
        <v>217536.58</v>
      </c>
      <c r="I8" s="4" t="s">
        <v>736</v>
      </c>
      <c r="J8" s="368" t="s">
        <v>929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114174.53999999998</v>
      </c>
      <c r="N8" s="371">
        <f>INFANTIL!H31</f>
        <v>328432.75</v>
      </c>
    </row>
    <row r="9" spans="1:14" ht="13.5" customHeight="1">
      <c r="A9" s="1"/>
      <c r="B9" s="785" t="s">
        <v>943</v>
      </c>
      <c r="C9" s="553"/>
      <c r="D9" s="553"/>
      <c r="E9" s="553"/>
      <c r="F9" s="553"/>
      <c r="G9" s="369">
        <f>IF(COMANDOBLOQUEADO!U6="1º TRIMESTRE",RECEITAS!E10,IF(COMANDOBLOQUEADO!U6="2º TRIMESTRE",RECEITAS!F10,IF(COMANDOBLOQUEADO!U6="3º TRIMESTRE",RECEITAS!G10,RECEITAS!H10)))</f>
        <v>21385.97</v>
      </c>
      <c r="H9" s="370">
        <f>RECEITAS!I10</f>
        <v>83193.53</v>
      </c>
      <c r="I9" s="4"/>
      <c r="J9" s="780" t="s">
        <v>928</v>
      </c>
      <c r="K9" s="553"/>
      <c r="L9" s="553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5" t="s">
        <v>944</v>
      </c>
      <c r="C10" s="553"/>
      <c r="D10" s="553"/>
      <c r="E10" s="553"/>
      <c r="F10" s="553"/>
      <c r="G10" s="369">
        <f>IF(COMANDOBLOQUEADO!U6="1º TRIMESTRE",RECEITAS!E11,IF(COMANDOBLOQUEADO!U6="2º TRIMESTRE",RECEITAS!F11,IF(COMANDOBLOQUEADO!U6="3º TRIMESTRE",RECEITAS!G11,RECEITAS!H11)))</f>
        <v>44941.38</v>
      </c>
      <c r="H10" s="370">
        <f>RECEITAS!I11</f>
        <v>128044.63</v>
      </c>
      <c r="I10" s="4"/>
      <c r="J10" s="373" t="s">
        <v>965</v>
      </c>
      <c r="K10" s="3" t="s">
        <v>962</v>
      </c>
      <c r="L10" s="3"/>
      <c r="M10" s="378">
        <f>SUM(M8:M9)</f>
        <v>114174.53999999998</v>
      </c>
      <c r="N10" s="374">
        <f>SUM(N8:N9)</f>
        <v>328432.75</v>
      </c>
    </row>
    <row r="11" spans="1:14" ht="13.5" customHeight="1">
      <c r="A11" s="1"/>
      <c r="B11" s="780" t="s">
        <v>945</v>
      </c>
      <c r="C11" s="553"/>
      <c r="D11" s="553"/>
      <c r="E11" s="553"/>
      <c r="F11" s="553"/>
      <c r="G11" s="369">
        <f>IF(COMANDOBLOQUEADO!U6="1º TRIMESTRE",RECEITAS!E12,IF(COMANDOBLOQUEADO!U6="2º TRIMESTRE",RECEITAS!F12,IF(COMANDOBLOQUEADO!U6="3º TRIMESTRE",RECEITAS!G12,RECEITAS!H12)))</f>
        <v>57434.77</v>
      </c>
      <c r="H11" s="370">
        <f>RECEITAS!I12</f>
        <v>122256.98999999999</v>
      </c>
      <c r="I11" s="4"/>
      <c r="J11" s="375" t="s">
        <v>932</v>
      </c>
      <c r="K11" s="553" t="s">
        <v>981</v>
      </c>
      <c r="L11" s="553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0" t="s">
        <v>946</v>
      </c>
      <c r="C12" s="553"/>
      <c r="D12" s="553"/>
      <c r="E12" s="553"/>
      <c r="F12" s="553"/>
      <c r="G12" s="369">
        <f>IF(COMANDOBLOQUEADO!U6="1º TRIMESTRE",RECEITAS!E13,IF(COMANDOBLOQUEADO!U6="2º TRIMESTRE",RECEITAS!F13,IF(COMANDOBLOQUEADO!U6="3º TRIMESTRE",RECEITAS!G13,RECEITAS!H13)))</f>
        <v>14937.8</v>
      </c>
      <c r="H12" s="370">
        <f>RECEITAS!I13</f>
        <v>38339.56</v>
      </c>
      <c r="I12" s="4"/>
      <c r="J12" s="375" t="s">
        <v>932</v>
      </c>
      <c r="K12" s="4" t="s">
        <v>934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0" t="s">
        <v>947</v>
      </c>
      <c r="C13" s="553"/>
      <c r="D13" s="553"/>
      <c r="E13" s="553"/>
      <c r="F13" s="553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932</v>
      </c>
      <c r="K13" s="4" t="s">
        <v>935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5" t="s">
        <v>948</v>
      </c>
      <c r="C14" s="553"/>
      <c r="D14" s="553"/>
      <c r="E14" s="553"/>
      <c r="F14" s="553"/>
      <c r="G14" s="369">
        <f>IF(COMANDOBLOQUEADO!U6="1º TRIMESTRE",RECEITAS!E15,IF(COMANDOBLOQUEADO!U6="2º TRIMESTRE",RECEITAS!F15,IF(COMANDOBLOQUEADO!U6="3º TRIMESTRE",RECEITAS!G15,RECEITAS!H15)))</f>
        <v>531.3</v>
      </c>
      <c r="H14" s="370">
        <f>RECEITAS!I15</f>
        <v>1960.64</v>
      </c>
      <c r="I14" s="4"/>
      <c r="J14" s="373" t="s">
        <v>965</v>
      </c>
      <c r="K14" s="3" t="s">
        <v>936</v>
      </c>
      <c r="L14" s="3"/>
      <c r="M14" s="378">
        <f>M10-M11-M12-M13</f>
        <v>114174.53999999998</v>
      </c>
      <c r="N14" s="374">
        <f>N10-N11-N12-N13</f>
        <v>328432.75</v>
      </c>
    </row>
    <row r="15" spans="1:14" ht="13.5" customHeight="1">
      <c r="A15" s="1"/>
      <c r="B15" s="785" t="s">
        <v>949</v>
      </c>
      <c r="C15" s="553"/>
      <c r="D15" s="553"/>
      <c r="E15" s="553"/>
      <c r="F15" s="553"/>
      <c r="G15" s="369">
        <f>IF(COMANDOBLOQUEADO!U6="1º TRIMESTRE",RECEITAS!E19,IF(COMANDOBLOQUEADO!U6="2º TRIMESTRE",RECEITAS!F19,IF(COMANDOBLOQUEADO!U6="3º TRIMESTRE",RECEITAS!G19,RECEITAS!H19)))</f>
        <v>801187.28</v>
      </c>
      <c r="H15" s="370">
        <f>RECEITAS!I19</f>
        <v>2716657.74</v>
      </c>
      <c r="I15" s="4"/>
      <c r="J15" s="780"/>
      <c r="K15" s="553"/>
      <c r="L15" s="553"/>
      <c r="M15" s="376"/>
      <c r="N15" s="377"/>
    </row>
    <row r="16" spans="1:14" ht="13.5" customHeight="1">
      <c r="A16" s="1"/>
      <c r="B16" s="780" t="s">
        <v>950</v>
      </c>
      <c r="C16" s="553"/>
      <c r="D16" s="553"/>
      <c r="E16" s="553"/>
      <c r="F16" s="553"/>
      <c r="G16" s="369">
        <f>IF(COMANDOBLOQUEADO!U6="1º TRIMESTRE",RECEITAS!E20,IF(COMANDOBLOQUEADO!U6="2º TRIMESTRE",RECEITAS!F20,IF(COMANDOBLOQUEADO!U6="3º TRIMESTRE",RECEITAS!G20,RECEITAS!H20)))</f>
        <v>199.03</v>
      </c>
      <c r="H16" s="370">
        <f>RECEITAS!I20</f>
        <v>9188.24</v>
      </c>
      <c r="I16" s="4"/>
      <c r="J16" s="780" t="s">
        <v>927</v>
      </c>
      <c r="K16" s="553"/>
      <c r="L16" s="553"/>
      <c r="M16" s="376"/>
      <c r="N16" s="377"/>
    </row>
    <row r="17" spans="1:14" ht="13.5" customHeight="1">
      <c r="A17" s="1"/>
      <c r="B17" s="780" t="s">
        <v>955</v>
      </c>
      <c r="C17" s="553"/>
      <c r="D17" s="553"/>
      <c r="E17" s="553"/>
      <c r="F17" s="553"/>
      <c r="G17" s="369">
        <f>IF(COMANDOBLOQUEADO!U6="1º TRIMESTRE",RECEITAS!E21,IF(COMANDOBLOQUEADO!U6="2º TRIMESTRE",RECEITAS!F21,IF(COMANDOBLOQUEADO!U6="3º TRIMESTRE",RECEITAS!G21,RECEITAS!H21)))</f>
        <v>21907.68</v>
      </c>
      <c r="H17" s="370">
        <f>RECEITAS!I21</f>
        <v>65723.04000000001</v>
      </c>
      <c r="I17" s="4"/>
      <c r="J17" s="343"/>
      <c r="K17" s="4" t="s">
        <v>966</v>
      </c>
      <c r="L17" s="4"/>
      <c r="M17" s="369">
        <f>IF(COMANDOBLOQUEADO!U6="1º TRIMESTRE",FUNDAMENTAL!D31,IF(COMANDOBLOQUEADO!U6="2º TRIMESTRE",FUNDAMENTAL!E31,IF(COMANDOBLOQUEADO!U6="3º TRIMESTRE",FUNDAMENTAL!F31,FUNDAMENTAL!G31)))</f>
        <v>279155.57000000007</v>
      </c>
      <c r="N17" s="372">
        <f>FUNDAMENTAL!H31</f>
        <v>858377.69</v>
      </c>
    </row>
    <row r="18" spans="1:14" ht="13.5" customHeight="1">
      <c r="A18" s="1"/>
      <c r="B18" s="780" t="s">
        <v>983</v>
      </c>
      <c r="C18" s="786"/>
      <c r="D18" s="786"/>
      <c r="E18" s="786"/>
      <c r="F18" s="542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967</v>
      </c>
      <c r="L18" s="4"/>
      <c r="M18" s="369">
        <f>IF(COMANDOBLOQUEADO!U6="1º TRIMESTRE",FUNDEF!D30,IF(COMANDOBLOQUEADO!U6="2º TRIMESTRE",FUNDEF!E30,IF(COMANDOBLOQUEADO!U6="3º TRIMESTRE",FUNDEF!F30,FUNDEF!G30)))</f>
        <v>197950.34</v>
      </c>
      <c r="N18" s="372">
        <f>FUNDEF!H30</f>
        <v>729378.45</v>
      </c>
    </row>
    <row r="19" spans="1:14" ht="13.5" customHeight="1">
      <c r="A19" s="1"/>
      <c r="B19" s="780" t="s">
        <v>956</v>
      </c>
      <c r="C19" s="553"/>
      <c r="D19" s="553"/>
      <c r="E19" s="553"/>
      <c r="F19" s="553"/>
      <c r="G19" s="369">
        <f>IF(COMANDOBLOQUEADO!U6="1º TRIMESTRE",RECEITAS!E26,IF(COMANDOBLOQUEADO!U6="2º TRIMESTRE",RECEITAS!F26,IF(COMANDOBLOQUEADO!U6="3º TRIMESTRE",RECEITAS!G26,RECEITAS!H26)))</f>
        <v>1049861.05</v>
      </c>
      <c r="H19" s="370">
        <f>RECEITAS!I26</f>
        <v>3097721.9400000004</v>
      </c>
      <c r="I19" s="4"/>
      <c r="J19" s="343" t="s">
        <v>979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957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33244.56</v>
      </c>
      <c r="H20" s="370">
        <f>RECEITAS!I27</f>
        <v>271279.53</v>
      </c>
      <c r="I20" s="4"/>
      <c r="J20" s="373" t="s">
        <v>965</v>
      </c>
      <c r="K20" s="3" t="s">
        <v>963</v>
      </c>
      <c r="L20" s="3"/>
      <c r="M20" s="378">
        <f>SUM(M17:M19)</f>
        <v>477105.91000000003</v>
      </c>
      <c r="N20" s="374">
        <f>SUM(N17:N19)</f>
        <v>1587756.14</v>
      </c>
    </row>
    <row r="21" spans="1:14" ht="13.5" customHeight="1">
      <c r="A21" s="1"/>
      <c r="B21" s="780" t="s">
        <v>958</v>
      </c>
      <c r="C21" s="553"/>
      <c r="D21" s="553"/>
      <c r="E21" s="553"/>
      <c r="F21" s="553"/>
      <c r="G21" s="369">
        <f>IF(COMANDOBLOQUEADO!U6="1º TRIMESTRE",RECEITAS!E28,IF(COMANDOBLOQUEADO!U6="2º TRIMESTRE",RECEITAS!F28,IF(COMANDOBLOQUEADO!U6="3º TRIMESTRE",RECEITAS!G28,RECEITAS!H28)))</f>
        <v>9316.24</v>
      </c>
      <c r="H21" s="370">
        <f>RECEITAS!I28</f>
        <v>28086.879999999997</v>
      </c>
      <c r="I21" s="4"/>
      <c r="J21" s="375" t="s">
        <v>930</v>
      </c>
      <c r="K21" s="5" t="s">
        <v>931</v>
      </c>
      <c r="L21" s="5"/>
      <c r="M21" s="350">
        <f>RESUMO!G29</f>
        <v>14048.190000000002</v>
      </c>
      <c r="N21" s="372">
        <f>RESUMO!I29</f>
        <v>86507.22999999986</v>
      </c>
    </row>
    <row r="22" spans="1:14" ht="13.5" customHeight="1">
      <c r="A22" s="1"/>
      <c r="B22" s="780" t="s">
        <v>959</v>
      </c>
      <c r="C22" s="553"/>
      <c r="D22" s="553"/>
      <c r="E22" s="553"/>
      <c r="F22" s="553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932</v>
      </c>
      <c r="K22" s="4" t="s">
        <v>933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0" t="s">
        <v>980</v>
      </c>
      <c r="C23" s="553"/>
      <c r="D23" s="553"/>
      <c r="E23" s="553"/>
      <c r="F23" s="553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965</v>
      </c>
      <c r="K23" s="3" t="s">
        <v>964</v>
      </c>
      <c r="L23" s="3"/>
      <c r="M23" s="378">
        <f>M20+M21-M22</f>
        <v>491154.10000000003</v>
      </c>
      <c r="N23" s="374">
        <f>N20+N21-N22</f>
        <v>1674263.3699999996</v>
      </c>
    </row>
    <row r="24" spans="1:14" ht="12.75" customHeight="1">
      <c r="A24" s="1"/>
      <c r="B24" s="788" t="s">
        <v>961</v>
      </c>
      <c r="C24" s="789"/>
      <c r="D24" s="789"/>
      <c r="E24" s="789"/>
      <c r="F24" s="789"/>
      <c r="G24" s="782">
        <f>SUM(G8:G23)</f>
        <v>2089518.9100000001</v>
      </c>
      <c r="H24" s="783">
        <f>SUM(H8:H23)</f>
        <v>6779989.300000001</v>
      </c>
      <c r="I24" s="4"/>
      <c r="J24" s="375" t="s">
        <v>932</v>
      </c>
      <c r="K24" s="5" t="s">
        <v>981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88019.19</v>
      </c>
      <c r="N24" s="372">
        <f>FUNDAMENTAL!H47+FUNDAMENTAL!H48</f>
        <v>236089.13</v>
      </c>
    </row>
    <row r="25" spans="1:14" ht="12.75" customHeight="1">
      <c r="A25" s="1"/>
      <c r="B25" s="780"/>
      <c r="C25" s="553"/>
      <c r="D25" s="553"/>
      <c r="E25" s="553"/>
      <c r="F25" s="553"/>
      <c r="G25" s="782"/>
      <c r="H25" s="783"/>
      <c r="I25" s="4"/>
      <c r="J25" s="375" t="s">
        <v>932</v>
      </c>
      <c r="K25" s="4" t="s">
        <v>934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4"/>
      <c r="C26" s="553"/>
      <c r="D26" s="553"/>
      <c r="E26" s="553"/>
      <c r="F26" s="553"/>
      <c r="G26" s="376"/>
      <c r="H26" s="377"/>
      <c r="I26" s="4"/>
      <c r="J26" s="375" t="s">
        <v>932</v>
      </c>
      <c r="K26" s="4" t="s">
        <v>935</v>
      </c>
      <c r="L26" s="4"/>
      <c r="M26" s="369">
        <f>IF(COMANDOBLOQUEADO!U6="1º TRIMESTRE",FUNDAMENTAL!D50,IF(COMANDOBLOQUEADO!U6="2º TRIMESTRE",FUNDAMENTAL!E50,IF(COMANDOBLOQUEADO!U6="3º TRIMESTRE",FUNDAMENTAL!F50,FUNDAMENTAL!G50)))</f>
        <v>1692.16</v>
      </c>
      <c r="N26" s="372">
        <f>FUNDAMENTAL!H50</f>
        <v>5353.16</v>
      </c>
    </row>
    <row r="27" spans="1:14" ht="13.5" customHeight="1">
      <c r="A27" s="1"/>
      <c r="B27" s="780" t="s">
        <v>938</v>
      </c>
      <c r="C27" s="553"/>
      <c r="D27" s="553"/>
      <c r="E27" s="553"/>
      <c r="F27" s="553"/>
      <c r="G27" s="369">
        <f>IF(COMANDOBLOQUEADO!U6="1º TRIMESTRE",RECEITAS!E39,IF(COMANDOBLOQUEADO!U6="2º TRIMESTRE",RECEITAS!F39,IF(COMANDOBLOQUEADO!U6="3º TRIMESTRE",RECEITAS!G39,RECEITAS!H39)))</f>
        <v>1692.16</v>
      </c>
      <c r="H27" s="372">
        <f>RECEITAS!I39</f>
        <v>5353.16</v>
      </c>
      <c r="I27" s="4"/>
      <c r="J27" s="373" t="s">
        <v>965</v>
      </c>
      <c r="K27" s="3" t="s">
        <v>982</v>
      </c>
      <c r="L27" s="3"/>
      <c r="M27" s="378">
        <f>M23-M24-M25-M26</f>
        <v>401442.75000000006</v>
      </c>
      <c r="N27" s="374">
        <f>N23-N24-N25-N26</f>
        <v>1432821.0799999998</v>
      </c>
    </row>
    <row r="28" spans="1:14" ht="13.5" customHeight="1">
      <c r="A28" s="2"/>
      <c r="B28" s="780" t="s">
        <v>768</v>
      </c>
      <c r="C28" s="553"/>
      <c r="D28" s="553"/>
      <c r="E28" s="553"/>
      <c r="F28" s="553"/>
      <c r="G28" s="369">
        <f>IF(COMANDOBLOQUEADO!U6="1º TRIMESTRE",RECEITAS!E55,IF(COMANDOBLOQUEADO!U6="2º TRIMESTRE",RECEITAS!F55,IF(COMANDOBLOQUEADO!U6="3º TRIMESTRE",RECEITAS!G55,RECEITAS!H55)))</f>
        <v>72989.17</v>
      </c>
      <c r="H28" s="372">
        <f>RECEITAS!I55</f>
        <v>233750.54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0" t="s">
        <v>940</v>
      </c>
      <c r="C29" s="553"/>
      <c r="D29" s="553"/>
      <c r="E29" s="553"/>
      <c r="F29" s="553"/>
      <c r="G29" s="369">
        <f>IF(COMANDOBLOQUEADO!U6="1º TRIMESTRE",RECEITAS!E58,IF(COMANDOBLOQUEADO!U6="2º TRIMESTRE",RECEITAS!F58,IF(COMANDOBLOQUEADO!U6="3º TRIMESTRE",RECEITAS!G58,RECEITAS!H58)))</f>
        <v>268292.44</v>
      </c>
      <c r="H29" s="372">
        <f>RECEITAS!I58</f>
        <v>799720.55</v>
      </c>
      <c r="I29" s="4"/>
      <c r="J29" s="383" t="s">
        <v>937</v>
      </c>
      <c r="K29" s="3"/>
      <c r="L29" s="3"/>
      <c r="M29" s="384">
        <f>RESUMO!G35</f>
        <v>515617.29000000004</v>
      </c>
      <c r="N29" s="385">
        <f>RESUMO!I35</f>
        <v>1761253.8299999996</v>
      </c>
    </row>
    <row r="30" spans="1:14" ht="13.5" customHeight="1">
      <c r="A30" s="1"/>
      <c r="B30" s="785" t="s">
        <v>941</v>
      </c>
      <c r="C30" s="553"/>
      <c r="D30" s="553"/>
      <c r="E30" s="553"/>
      <c r="F30" s="553"/>
      <c r="G30" s="369">
        <f>IF(COMANDOBLOQUEADO!U6="1º TRIMESTRE",RECEITAS!E59,IF(COMANDOBLOQUEADO!U6="2º TRIMESTRE",RECEITAS!F59,IF(COMANDOBLOQUEADO!U6="3º TRIMESTRE",RECEITAS!G59,RECEITAS!H59)))</f>
        <v>2756.66</v>
      </c>
      <c r="H30" s="372">
        <f>RECEITAS!I59</f>
        <v>8163.3099999999995</v>
      </c>
      <c r="I30" s="4"/>
      <c r="J30" s="383" t="s">
        <v>971</v>
      </c>
      <c r="K30" s="3"/>
      <c r="L30" s="3"/>
      <c r="M30" s="471">
        <f>(RESUMO!H35)/100</f>
        <v>0.2467636390043486</v>
      </c>
      <c r="N30" s="472">
        <f>(RESUMO!J35)/100</f>
        <v>0.2597723612926645</v>
      </c>
    </row>
    <row r="31" spans="1:14" ht="13.5" customHeight="1">
      <c r="A31" s="1"/>
      <c r="B31" s="780" t="s">
        <v>939</v>
      </c>
      <c r="C31" s="553"/>
      <c r="D31" s="553"/>
      <c r="E31" s="553"/>
      <c r="F31" s="553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972</v>
      </c>
      <c r="L31" s="3"/>
      <c r="M31" s="471">
        <f>(RESUMO!H31)/100</f>
        <v>0.1921220947457231</v>
      </c>
      <c r="N31" s="472">
        <f>(RESUMO!J31)/100</f>
        <v>0.21133087628914096</v>
      </c>
    </row>
    <row r="32" spans="1:14" ht="13.5" customHeight="1">
      <c r="A32" s="1"/>
      <c r="B32" s="784" t="s">
        <v>845</v>
      </c>
      <c r="C32" s="553"/>
      <c r="D32" s="553"/>
      <c r="E32" s="553"/>
      <c r="F32" s="553"/>
      <c r="G32" s="380">
        <f>SUM(G27:G31)</f>
        <v>345730.43</v>
      </c>
      <c r="H32" s="374">
        <f>SUM(H27:H31)</f>
        <v>1046987.56</v>
      </c>
      <c r="I32" s="4"/>
      <c r="J32" s="386"/>
      <c r="K32" s="3" t="s">
        <v>973</v>
      </c>
      <c r="L32" s="3"/>
      <c r="M32" s="471">
        <f>(RESUMO!H23)/100</f>
        <v>0.05464154425862553</v>
      </c>
      <c r="N32" s="472">
        <f>(RESUMO!J23)/100</f>
        <v>0.04844148500352353</v>
      </c>
    </row>
    <row r="33" spans="1:14" ht="13.5" customHeight="1">
      <c r="A33" s="1"/>
      <c r="B33" s="784"/>
      <c r="C33" s="553"/>
      <c r="D33" s="553"/>
      <c r="E33" s="553"/>
      <c r="F33" s="553"/>
      <c r="G33" s="376"/>
      <c r="H33" s="387"/>
      <c r="I33" s="4"/>
      <c r="J33" s="386"/>
      <c r="K33" s="3" t="s">
        <v>974</v>
      </c>
      <c r="L33" s="3"/>
      <c r="M33" s="473">
        <f>(RESUMO!H45)/100</f>
        <v>0.6539093101581966</v>
      </c>
      <c r="N33" s="474">
        <f>(RESUMO!J45)/100</f>
        <v>0.6534096126143676</v>
      </c>
    </row>
    <row r="34" spans="1:14" ht="13.5" customHeight="1">
      <c r="A34" s="1"/>
      <c r="B34" s="784" t="s">
        <v>960</v>
      </c>
      <c r="C34" s="553"/>
      <c r="D34" s="553"/>
      <c r="E34" s="553"/>
      <c r="F34" s="553"/>
      <c r="G34" s="378">
        <f>SUM(G24+G32)</f>
        <v>2435249.3400000003</v>
      </c>
      <c r="H34" s="374">
        <f>H24+H32</f>
        <v>7826976.860000001</v>
      </c>
      <c r="I34" s="4"/>
      <c r="J34" s="388" t="s">
        <v>29</v>
      </c>
      <c r="K34" s="3"/>
      <c r="L34" s="3"/>
      <c r="M34" s="384">
        <f>RESUMO!I53</f>
        <v>257865.89</v>
      </c>
      <c r="N34" s="385">
        <f>RESUMO!K53</f>
        <v>923987.1900000001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985</v>
      </c>
      <c r="C38" s="2"/>
      <c r="D38" s="2"/>
      <c r="E38" s="2"/>
      <c r="F38" s="96" t="s">
        <v>988</v>
      </c>
      <c r="G38" s="2"/>
      <c r="H38" s="2"/>
      <c r="I38" s="2"/>
      <c r="J38" s="107" t="s">
        <v>987</v>
      </c>
      <c r="K38" s="2"/>
      <c r="L38" s="786" t="s">
        <v>28</v>
      </c>
      <c r="M38" s="786"/>
      <c r="N38" s="786"/>
    </row>
    <row r="39" spans="1:14" ht="15">
      <c r="A39" s="1"/>
      <c r="B39" s="548" t="s">
        <v>986</v>
      </c>
      <c r="C39" s="786"/>
      <c r="D39" s="786"/>
      <c r="E39" s="786"/>
      <c r="F39" s="5" t="s">
        <v>34</v>
      </c>
      <c r="G39" s="2"/>
      <c r="H39" s="2"/>
      <c r="I39" s="2"/>
      <c r="J39" s="523" t="s">
        <v>33</v>
      </c>
      <c r="K39" s="523"/>
      <c r="L39" s="786" t="s">
        <v>990</v>
      </c>
      <c r="M39" s="786"/>
      <c r="N39" s="786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8"/>
      <c r="C49" s="518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8"/>
      <c r="C53" s="787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815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1046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1036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1070</v>
      </c>
      <c r="C14" s="450" t="s">
        <v>1077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1071</v>
      </c>
      <c r="C15" s="450" t="s">
        <v>1078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1072</v>
      </c>
      <c r="C16" s="450" t="s">
        <v>1079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1073</v>
      </c>
      <c r="C17" s="450" t="s">
        <v>1080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1074</v>
      </c>
      <c r="C18" s="450" t="s">
        <v>23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1075</v>
      </c>
      <c r="C19" s="450" t="s">
        <v>1081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1076</v>
      </c>
      <c r="C20" s="450" t="s">
        <v>1082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1037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1062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1038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1009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2</v>
      </c>
      <c r="C36" s="450" t="s">
        <v>7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3</v>
      </c>
      <c r="C37" s="450" t="s">
        <v>8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4</v>
      </c>
      <c r="C38" s="450" t="s">
        <v>9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5</v>
      </c>
      <c r="C39" s="450" t="s">
        <v>10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6</v>
      </c>
      <c r="C40" s="586" t="s">
        <v>1039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11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3"/>
      <c r="D45" s="573"/>
      <c r="E45" s="573"/>
      <c r="F45" s="573"/>
      <c r="G45" s="573"/>
      <c r="H45" s="573"/>
      <c r="I45" s="573"/>
      <c r="J45" s="574"/>
      <c r="K45" s="24"/>
    </row>
    <row r="46" spans="1:11" ht="19.5" customHeight="1" thickBot="1">
      <c r="A46" s="24"/>
      <c r="B46" s="575"/>
      <c r="C46" s="576"/>
      <c r="D46" s="576"/>
      <c r="E46" s="576"/>
      <c r="F46" s="576"/>
      <c r="G46" s="576"/>
      <c r="H46" s="576"/>
      <c r="I46" s="576"/>
      <c r="J46" s="577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58" t="s">
        <v>12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1063</v>
      </c>
      <c r="C52" s="450" t="s">
        <v>1047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1064</v>
      </c>
      <c r="C53" s="450" t="s">
        <v>1052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1065</v>
      </c>
      <c r="C54" s="450" t="s">
        <v>1053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1066</v>
      </c>
      <c r="C55" s="450" t="s">
        <v>1054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1067</v>
      </c>
      <c r="C56" s="450" t="s">
        <v>1055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1068</v>
      </c>
      <c r="C57" s="450" t="s">
        <v>1048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1069</v>
      </c>
      <c r="C58" s="450" t="s">
        <v>1057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13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1058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1049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1059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1003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1060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1004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1083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1061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1084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1050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1085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14</v>
      </c>
      <c r="C102" s="450" t="s">
        <v>1051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1087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1086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20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15</v>
      </c>
      <c r="C121" s="590" t="s">
        <v>1052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1040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1088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1089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1043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21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16</v>
      </c>
      <c r="C146" s="590" t="s">
        <v>1053</v>
      </c>
      <c r="D146" s="559"/>
      <c r="E146" s="559"/>
      <c r="F146" s="559"/>
      <c r="G146" s="559"/>
      <c r="H146" s="559"/>
      <c r="I146" s="559"/>
      <c r="J146" s="559"/>
      <c r="K146" s="24"/>
    </row>
    <row r="147" spans="1:11" ht="16.5">
      <c r="A147" s="24"/>
      <c r="B147" s="455"/>
      <c r="C147" s="559"/>
      <c r="D147" s="559"/>
      <c r="E147" s="559"/>
      <c r="F147" s="559"/>
      <c r="G147" s="559"/>
      <c r="H147" s="559"/>
      <c r="I147" s="559"/>
      <c r="J147" s="559"/>
      <c r="K147" s="24"/>
    </row>
    <row r="148" spans="1:11" ht="15.75">
      <c r="A148" s="24"/>
      <c r="B148" s="583" t="s">
        <v>1040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1041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1090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1091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1089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21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17</v>
      </c>
      <c r="C177" s="450" t="s">
        <v>1054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1092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1088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1089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1042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21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18</v>
      </c>
      <c r="C202" s="450" t="s">
        <v>1055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1093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0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19</v>
      </c>
      <c r="C213" s="450" t="s">
        <v>1056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22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1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978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1044</v>
      </c>
      <c r="C231" s="450" t="s">
        <v>1057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1045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0" t="s">
        <v>412</v>
      </c>
      <c r="B2" s="560"/>
      <c r="C2" s="560"/>
    </row>
    <row r="3" spans="1:3" ht="12.75" customHeight="1">
      <c r="A3" s="561" t="s">
        <v>822</v>
      </c>
      <c r="B3" s="561"/>
      <c r="C3" s="561"/>
    </row>
    <row r="4" spans="1:3" ht="13.5">
      <c r="A4" s="30"/>
      <c r="B4" s="31"/>
      <c r="C4" s="10"/>
    </row>
    <row r="5" spans="2:3" ht="13.5">
      <c r="B5" s="32">
        <v>1</v>
      </c>
      <c r="C5" s="36" t="s">
        <v>818</v>
      </c>
    </row>
    <row r="6" spans="2:3" ht="13.5">
      <c r="B6" s="33">
        <f>B5+1</f>
        <v>2</v>
      </c>
      <c r="C6" s="37" t="s">
        <v>124</v>
      </c>
    </row>
    <row r="7" spans="2:3" ht="13.5">
      <c r="B7" s="33">
        <f aca="true" t="shared" si="0" ref="B7:B70">B6+1</f>
        <v>3</v>
      </c>
      <c r="C7" s="37" t="s">
        <v>64</v>
      </c>
    </row>
    <row r="8" spans="2:3" ht="13.5">
      <c r="B8" s="33">
        <f t="shared" si="0"/>
        <v>4</v>
      </c>
      <c r="C8" s="36" t="s">
        <v>413</v>
      </c>
    </row>
    <row r="9" spans="2:3" ht="13.5">
      <c r="B9" s="33">
        <f t="shared" si="0"/>
        <v>5</v>
      </c>
      <c r="C9" s="36" t="s">
        <v>414</v>
      </c>
    </row>
    <row r="10" spans="2:3" ht="13.5">
      <c r="B10" s="33">
        <f t="shared" si="0"/>
        <v>6</v>
      </c>
      <c r="C10" s="36" t="s">
        <v>415</v>
      </c>
    </row>
    <row r="11" spans="2:3" ht="13.5">
      <c r="B11" s="33">
        <f t="shared" si="0"/>
        <v>7</v>
      </c>
      <c r="C11" s="37" t="s">
        <v>344</v>
      </c>
    </row>
    <row r="12" spans="2:3" ht="13.5">
      <c r="B12" s="33">
        <f t="shared" si="0"/>
        <v>8</v>
      </c>
      <c r="C12" s="36" t="s">
        <v>416</v>
      </c>
    </row>
    <row r="13" spans="2:3" ht="13.5">
      <c r="B13" s="33">
        <f t="shared" si="0"/>
        <v>9</v>
      </c>
      <c r="C13" s="37" t="s">
        <v>125</v>
      </c>
    </row>
    <row r="14" spans="2:3" ht="13.5">
      <c r="B14" s="33">
        <f t="shared" si="0"/>
        <v>10</v>
      </c>
      <c r="C14" s="36" t="s">
        <v>417</v>
      </c>
    </row>
    <row r="15" spans="2:3" ht="13.5">
      <c r="B15" s="33">
        <f t="shared" si="0"/>
        <v>11</v>
      </c>
      <c r="C15" s="37" t="s">
        <v>126</v>
      </c>
    </row>
    <row r="16" spans="2:3" ht="13.5">
      <c r="B16" s="33">
        <f t="shared" si="0"/>
        <v>12</v>
      </c>
      <c r="C16" s="37" t="s">
        <v>65</v>
      </c>
    </row>
    <row r="17" spans="2:3" ht="13.5">
      <c r="B17" s="33">
        <f t="shared" si="0"/>
        <v>13</v>
      </c>
      <c r="C17" s="36" t="s">
        <v>418</v>
      </c>
    </row>
    <row r="18" spans="2:3" ht="13.5">
      <c r="B18" s="33">
        <f t="shared" si="0"/>
        <v>14</v>
      </c>
      <c r="C18" s="36" t="s">
        <v>419</v>
      </c>
    </row>
    <row r="19" spans="2:3" ht="13.5">
      <c r="B19" s="33">
        <f t="shared" si="0"/>
        <v>15</v>
      </c>
      <c r="C19" s="37" t="s">
        <v>127</v>
      </c>
    </row>
    <row r="20" spans="2:3" ht="13.5">
      <c r="B20" s="33">
        <f t="shared" si="0"/>
        <v>16</v>
      </c>
      <c r="C20" s="37" t="s">
        <v>128</v>
      </c>
    </row>
    <row r="21" spans="2:3" ht="13.5">
      <c r="B21" s="33">
        <f t="shared" si="0"/>
        <v>17</v>
      </c>
      <c r="C21" s="37" t="s">
        <v>129</v>
      </c>
    </row>
    <row r="22" spans="2:3" ht="13.5">
      <c r="B22" s="33">
        <f t="shared" si="0"/>
        <v>18</v>
      </c>
      <c r="C22" s="37" t="s">
        <v>345</v>
      </c>
    </row>
    <row r="23" spans="2:3" ht="13.5">
      <c r="B23" s="33">
        <f t="shared" si="0"/>
        <v>19</v>
      </c>
      <c r="C23" s="36" t="s">
        <v>420</v>
      </c>
    </row>
    <row r="24" spans="2:3" ht="13.5">
      <c r="B24" s="33">
        <f t="shared" si="0"/>
        <v>20</v>
      </c>
      <c r="C24" s="36" t="s">
        <v>421</v>
      </c>
    </row>
    <row r="25" spans="2:3" ht="13.5">
      <c r="B25" s="33">
        <f t="shared" si="0"/>
        <v>21</v>
      </c>
      <c r="C25" s="37" t="s">
        <v>346</v>
      </c>
    </row>
    <row r="26" spans="2:3" ht="13.5">
      <c r="B26" s="33">
        <f t="shared" si="0"/>
        <v>22</v>
      </c>
      <c r="C26" s="36" t="s">
        <v>422</v>
      </c>
    </row>
    <row r="27" spans="2:3" ht="13.5">
      <c r="B27" s="33">
        <f t="shared" si="0"/>
        <v>23</v>
      </c>
      <c r="C27" s="36" t="s">
        <v>423</v>
      </c>
    </row>
    <row r="28" spans="2:3" ht="13.5">
      <c r="B28" s="33">
        <f t="shared" si="0"/>
        <v>24</v>
      </c>
      <c r="C28" s="37" t="s">
        <v>130</v>
      </c>
    </row>
    <row r="29" spans="2:3" ht="13.5">
      <c r="B29" s="33">
        <f t="shared" si="0"/>
        <v>25</v>
      </c>
      <c r="C29" s="36" t="s">
        <v>424</v>
      </c>
    </row>
    <row r="30" spans="2:3" ht="13.5">
      <c r="B30" s="33">
        <f t="shared" si="0"/>
        <v>26</v>
      </c>
      <c r="C30" s="37" t="s">
        <v>131</v>
      </c>
    </row>
    <row r="31" spans="2:3" ht="13.5">
      <c r="B31" s="33">
        <f t="shared" si="0"/>
        <v>27</v>
      </c>
      <c r="C31" s="37" t="s">
        <v>132</v>
      </c>
    </row>
    <row r="32" spans="2:3" ht="13.5">
      <c r="B32" s="33">
        <f t="shared" si="0"/>
        <v>28</v>
      </c>
      <c r="C32" s="37" t="s">
        <v>133</v>
      </c>
    </row>
    <row r="33" spans="2:3" ht="13.5">
      <c r="B33" s="33">
        <f t="shared" si="0"/>
        <v>29</v>
      </c>
      <c r="C33" s="36" t="s">
        <v>425</v>
      </c>
    </row>
    <row r="34" spans="2:3" ht="13.5">
      <c r="B34" s="33">
        <f t="shared" si="0"/>
        <v>30</v>
      </c>
      <c r="C34" s="36" t="s">
        <v>426</v>
      </c>
    </row>
    <row r="35" spans="2:3" ht="13.5">
      <c r="B35" s="33">
        <f t="shared" si="0"/>
        <v>31</v>
      </c>
      <c r="C35" s="36" t="s">
        <v>427</v>
      </c>
    </row>
    <row r="36" spans="2:3" ht="13.5">
      <c r="B36" s="33">
        <f t="shared" si="0"/>
        <v>32</v>
      </c>
      <c r="C36" s="36" t="s">
        <v>428</v>
      </c>
    </row>
    <row r="37" spans="2:3" ht="13.5">
      <c r="B37" s="33">
        <f t="shared" si="0"/>
        <v>33</v>
      </c>
      <c r="C37" s="36" t="s">
        <v>429</v>
      </c>
    </row>
    <row r="38" spans="2:3" ht="13.5">
      <c r="B38" s="33">
        <f t="shared" si="0"/>
        <v>34</v>
      </c>
      <c r="C38" s="36" t="s">
        <v>430</v>
      </c>
    </row>
    <row r="39" spans="2:3" ht="13.5">
      <c r="B39" s="33">
        <f t="shared" si="0"/>
        <v>35</v>
      </c>
      <c r="C39" s="37" t="s">
        <v>134</v>
      </c>
    </row>
    <row r="40" spans="2:3" ht="13.5">
      <c r="B40" s="33">
        <f t="shared" si="0"/>
        <v>36</v>
      </c>
      <c r="C40" s="37" t="s">
        <v>347</v>
      </c>
    </row>
    <row r="41" spans="2:3" ht="13.5">
      <c r="B41" s="33">
        <f t="shared" si="0"/>
        <v>37</v>
      </c>
      <c r="C41" s="37" t="s">
        <v>135</v>
      </c>
    </row>
    <row r="42" spans="2:3" ht="13.5">
      <c r="B42" s="33">
        <f t="shared" si="0"/>
        <v>38</v>
      </c>
      <c r="C42" s="36" t="s">
        <v>431</v>
      </c>
    </row>
    <row r="43" spans="2:3" ht="13.5">
      <c r="B43" s="33">
        <f t="shared" si="0"/>
        <v>39</v>
      </c>
      <c r="C43" s="37" t="s">
        <v>348</v>
      </c>
    </row>
    <row r="44" spans="2:3" ht="13.5">
      <c r="B44" s="33">
        <f t="shared" si="0"/>
        <v>40</v>
      </c>
      <c r="C44" s="37" t="s">
        <v>136</v>
      </c>
    </row>
    <row r="45" spans="2:3" ht="13.5">
      <c r="B45" s="33">
        <f t="shared" si="0"/>
        <v>41</v>
      </c>
      <c r="C45" s="37" t="s">
        <v>137</v>
      </c>
    </row>
    <row r="46" spans="2:3" ht="13.5">
      <c r="B46" s="33">
        <f t="shared" si="0"/>
        <v>42</v>
      </c>
      <c r="C46" s="38" t="s">
        <v>349</v>
      </c>
    </row>
    <row r="47" spans="2:3" ht="13.5">
      <c r="B47" s="33">
        <f t="shared" si="0"/>
        <v>43</v>
      </c>
      <c r="C47" s="37" t="s">
        <v>66</v>
      </c>
    </row>
    <row r="48" spans="2:3" ht="13.5">
      <c r="B48" s="33">
        <f t="shared" si="0"/>
        <v>44</v>
      </c>
      <c r="C48" s="36" t="s">
        <v>432</v>
      </c>
    </row>
    <row r="49" spans="2:3" ht="13.5">
      <c r="B49" s="33">
        <f t="shared" si="0"/>
        <v>45</v>
      </c>
      <c r="C49" s="36" t="s">
        <v>433</v>
      </c>
    </row>
    <row r="50" spans="2:3" ht="13.5">
      <c r="B50" s="33">
        <f t="shared" si="0"/>
        <v>46</v>
      </c>
      <c r="C50" s="36" t="s">
        <v>434</v>
      </c>
    </row>
    <row r="51" spans="2:3" ht="13.5">
      <c r="B51" s="33">
        <f t="shared" si="0"/>
        <v>47</v>
      </c>
      <c r="C51" s="37" t="s">
        <v>138</v>
      </c>
    </row>
    <row r="52" spans="2:3" ht="13.5">
      <c r="B52" s="33">
        <f t="shared" si="0"/>
        <v>48</v>
      </c>
      <c r="C52" s="37" t="s">
        <v>139</v>
      </c>
    </row>
    <row r="53" spans="2:3" ht="13.5">
      <c r="B53" s="33">
        <f t="shared" si="0"/>
        <v>49</v>
      </c>
      <c r="C53" s="36" t="s">
        <v>435</v>
      </c>
    </row>
    <row r="54" spans="2:3" ht="13.5">
      <c r="B54" s="33">
        <f t="shared" si="0"/>
        <v>50</v>
      </c>
      <c r="C54" s="37" t="s">
        <v>350</v>
      </c>
    </row>
    <row r="55" spans="2:3" ht="13.5">
      <c r="B55" s="33">
        <f t="shared" si="0"/>
        <v>51</v>
      </c>
      <c r="C55" s="37" t="s">
        <v>351</v>
      </c>
    </row>
    <row r="56" spans="2:3" ht="13.5">
      <c r="B56" s="33">
        <f t="shared" si="0"/>
        <v>52</v>
      </c>
      <c r="C56" s="37" t="s">
        <v>140</v>
      </c>
    </row>
    <row r="57" spans="2:3" ht="13.5">
      <c r="B57" s="33">
        <f t="shared" si="0"/>
        <v>53</v>
      </c>
      <c r="C57" s="37" t="s">
        <v>141</v>
      </c>
    </row>
    <row r="58" spans="2:3" ht="13.5">
      <c r="B58" s="33">
        <f t="shared" si="0"/>
        <v>54</v>
      </c>
      <c r="C58" s="37" t="s">
        <v>67</v>
      </c>
    </row>
    <row r="59" spans="2:3" ht="13.5">
      <c r="B59" s="33">
        <f t="shared" si="0"/>
        <v>55</v>
      </c>
      <c r="C59" s="37" t="s">
        <v>142</v>
      </c>
    </row>
    <row r="60" spans="2:3" ht="13.5">
      <c r="B60" s="33">
        <f t="shared" si="0"/>
        <v>56</v>
      </c>
      <c r="C60" s="36" t="s">
        <v>436</v>
      </c>
    </row>
    <row r="61" spans="2:3" ht="13.5">
      <c r="B61" s="33">
        <f t="shared" si="0"/>
        <v>57</v>
      </c>
      <c r="C61" s="37" t="s">
        <v>143</v>
      </c>
    </row>
    <row r="62" spans="2:3" ht="13.5">
      <c r="B62" s="33">
        <f t="shared" si="0"/>
        <v>58</v>
      </c>
      <c r="C62" s="37" t="s">
        <v>144</v>
      </c>
    </row>
    <row r="63" spans="2:3" ht="13.5">
      <c r="B63" s="33">
        <f t="shared" si="0"/>
        <v>59</v>
      </c>
      <c r="C63" s="36" t="s">
        <v>437</v>
      </c>
    </row>
    <row r="64" spans="2:3" ht="13.5">
      <c r="B64" s="33">
        <f t="shared" si="0"/>
        <v>60</v>
      </c>
      <c r="C64" s="36" t="s">
        <v>438</v>
      </c>
    </row>
    <row r="65" spans="2:3" ht="13.5">
      <c r="B65" s="33">
        <f t="shared" si="0"/>
        <v>61</v>
      </c>
      <c r="C65" s="37" t="s">
        <v>68</v>
      </c>
    </row>
    <row r="66" spans="2:3" ht="13.5">
      <c r="B66" s="33">
        <f t="shared" si="0"/>
        <v>62</v>
      </c>
      <c r="C66" s="36" t="s">
        <v>439</v>
      </c>
    </row>
    <row r="67" spans="2:3" ht="13.5">
      <c r="B67" s="33">
        <f t="shared" si="0"/>
        <v>63</v>
      </c>
      <c r="C67" s="37" t="s">
        <v>145</v>
      </c>
    </row>
    <row r="68" spans="2:3" ht="13.5">
      <c r="B68" s="33">
        <f t="shared" si="0"/>
        <v>64</v>
      </c>
      <c r="C68" s="36" t="s">
        <v>440</v>
      </c>
    </row>
    <row r="69" spans="2:3" ht="13.5">
      <c r="B69" s="33">
        <f t="shared" si="0"/>
        <v>65</v>
      </c>
      <c r="C69" s="37" t="s">
        <v>146</v>
      </c>
    </row>
    <row r="70" spans="2:3" ht="13.5">
      <c r="B70" s="33">
        <f t="shared" si="0"/>
        <v>66</v>
      </c>
      <c r="C70" s="36" t="s">
        <v>441</v>
      </c>
    </row>
    <row r="71" spans="2:3" ht="13.5">
      <c r="B71" s="33">
        <f aca="true" t="shared" si="1" ref="B71:B134">B70+1</f>
        <v>67</v>
      </c>
      <c r="C71" s="36" t="s">
        <v>442</v>
      </c>
    </row>
    <row r="72" spans="2:3" ht="13.5">
      <c r="B72" s="33">
        <f t="shared" si="1"/>
        <v>68</v>
      </c>
      <c r="C72" s="37" t="s">
        <v>147</v>
      </c>
    </row>
    <row r="73" spans="2:3" ht="13.5">
      <c r="B73" s="33">
        <f t="shared" si="1"/>
        <v>69</v>
      </c>
      <c r="C73" s="37" t="s">
        <v>148</v>
      </c>
    </row>
    <row r="74" spans="2:3" ht="13.5">
      <c r="B74" s="33">
        <f t="shared" si="1"/>
        <v>70</v>
      </c>
      <c r="C74" s="36" t="s">
        <v>443</v>
      </c>
    </row>
    <row r="75" spans="2:3" ht="13.5">
      <c r="B75" s="33">
        <f t="shared" si="1"/>
        <v>71</v>
      </c>
      <c r="C75" s="36" t="s">
        <v>444</v>
      </c>
    </row>
    <row r="76" spans="2:3" ht="13.5">
      <c r="B76" s="33">
        <f t="shared" si="1"/>
        <v>72</v>
      </c>
      <c r="C76" s="37" t="s">
        <v>149</v>
      </c>
    </row>
    <row r="77" spans="2:3" ht="13.5">
      <c r="B77" s="33">
        <f t="shared" si="1"/>
        <v>73</v>
      </c>
      <c r="C77" s="37" t="s">
        <v>150</v>
      </c>
    </row>
    <row r="78" spans="2:3" ht="13.5">
      <c r="B78" s="33">
        <f t="shared" si="1"/>
        <v>74</v>
      </c>
      <c r="C78" s="37" t="s">
        <v>352</v>
      </c>
    </row>
    <row r="79" spans="2:3" ht="13.5">
      <c r="B79" s="33">
        <f t="shared" si="1"/>
        <v>75</v>
      </c>
      <c r="C79" s="36" t="s">
        <v>151</v>
      </c>
    </row>
    <row r="80" spans="2:3" ht="13.5">
      <c r="B80" s="33">
        <f t="shared" si="1"/>
        <v>76</v>
      </c>
      <c r="C80" s="36" t="s">
        <v>445</v>
      </c>
    </row>
    <row r="81" spans="2:3" ht="13.5">
      <c r="B81" s="33">
        <f t="shared" si="1"/>
        <v>77</v>
      </c>
      <c r="C81" s="37" t="s">
        <v>152</v>
      </c>
    </row>
    <row r="82" spans="2:3" ht="13.5">
      <c r="B82" s="33">
        <f t="shared" si="1"/>
        <v>78</v>
      </c>
      <c r="C82" s="36" t="s">
        <v>446</v>
      </c>
    </row>
    <row r="83" spans="2:3" ht="13.5">
      <c r="B83" s="33">
        <f t="shared" si="1"/>
        <v>79</v>
      </c>
      <c r="C83" s="37" t="s">
        <v>153</v>
      </c>
    </row>
    <row r="84" spans="2:3" ht="13.5">
      <c r="B84" s="33">
        <f t="shared" si="1"/>
        <v>80</v>
      </c>
      <c r="C84" s="37" t="s">
        <v>353</v>
      </c>
    </row>
    <row r="85" spans="2:3" ht="13.5">
      <c r="B85" s="33">
        <f t="shared" si="1"/>
        <v>81</v>
      </c>
      <c r="C85" s="37" t="s">
        <v>154</v>
      </c>
    </row>
    <row r="86" spans="2:3" ht="13.5">
      <c r="B86" s="33">
        <f t="shared" si="1"/>
        <v>82</v>
      </c>
      <c r="C86" s="37" t="s">
        <v>155</v>
      </c>
    </row>
    <row r="87" spans="2:3" ht="13.5">
      <c r="B87" s="33">
        <f t="shared" si="1"/>
        <v>83</v>
      </c>
      <c r="C87" s="37" t="s">
        <v>156</v>
      </c>
    </row>
    <row r="88" spans="2:3" ht="13.5">
      <c r="B88" s="33">
        <f t="shared" si="1"/>
        <v>84</v>
      </c>
      <c r="C88" s="36" t="s">
        <v>447</v>
      </c>
    </row>
    <row r="89" spans="2:3" ht="13.5">
      <c r="B89" s="33">
        <f t="shared" si="1"/>
        <v>85</v>
      </c>
      <c r="C89" s="36" t="s">
        <v>448</v>
      </c>
    </row>
    <row r="90" spans="2:3" ht="13.5">
      <c r="B90" s="33">
        <f t="shared" si="1"/>
        <v>86</v>
      </c>
      <c r="C90" s="36" t="s">
        <v>449</v>
      </c>
    </row>
    <row r="91" spans="2:3" ht="13.5">
      <c r="B91" s="33">
        <f t="shared" si="1"/>
        <v>87</v>
      </c>
      <c r="C91" s="37" t="s">
        <v>157</v>
      </c>
    </row>
    <row r="92" spans="2:3" ht="13.5">
      <c r="B92" s="33">
        <f t="shared" si="1"/>
        <v>88</v>
      </c>
      <c r="C92" s="36" t="s">
        <v>450</v>
      </c>
    </row>
    <row r="93" spans="2:3" ht="13.5">
      <c r="B93" s="33">
        <f t="shared" si="1"/>
        <v>89</v>
      </c>
      <c r="C93" s="36" t="s">
        <v>451</v>
      </c>
    </row>
    <row r="94" spans="2:3" ht="13.5">
      <c r="B94" s="33">
        <f t="shared" si="1"/>
        <v>90</v>
      </c>
      <c r="C94" s="36" t="s">
        <v>452</v>
      </c>
    </row>
    <row r="95" spans="2:3" ht="13.5">
      <c r="B95" s="33">
        <f t="shared" si="1"/>
        <v>91</v>
      </c>
      <c r="C95" s="37" t="s">
        <v>158</v>
      </c>
    </row>
    <row r="96" spans="2:3" ht="13.5">
      <c r="B96" s="33">
        <f t="shared" si="1"/>
        <v>92</v>
      </c>
      <c r="C96" s="36" t="s">
        <v>453</v>
      </c>
    </row>
    <row r="97" spans="2:3" ht="13.5">
      <c r="B97" s="33">
        <f t="shared" si="1"/>
        <v>93</v>
      </c>
      <c r="C97" s="37" t="s">
        <v>159</v>
      </c>
    </row>
    <row r="98" spans="2:3" ht="13.5">
      <c r="B98" s="33">
        <f t="shared" si="1"/>
        <v>94</v>
      </c>
      <c r="C98" s="39" t="s">
        <v>160</v>
      </c>
    </row>
    <row r="99" spans="2:3" ht="13.5">
      <c r="B99" s="33">
        <f t="shared" si="1"/>
        <v>95</v>
      </c>
      <c r="C99" s="36" t="s">
        <v>454</v>
      </c>
    </row>
    <row r="100" spans="2:3" ht="13.5">
      <c r="B100" s="33">
        <f t="shared" si="1"/>
        <v>96</v>
      </c>
      <c r="C100" s="39" t="s">
        <v>161</v>
      </c>
    </row>
    <row r="101" spans="2:3" ht="13.5">
      <c r="B101" s="33">
        <f t="shared" si="1"/>
        <v>97</v>
      </c>
      <c r="C101" s="39" t="s">
        <v>162</v>
      </c>
    </row>
    <row r="102" spans="2:3" ht="13.5">
      <c r="B102" s="33">
        <f t="shared" si="1"/>
        <v>98</v>
      </c>
      <c r="C102" s="39" t="s">
        <v>163</v>
      </c>
    </row>
    <row r="103" spans="2:3" ht="13.5">
      <c r="B103" s="33">
        <f t="shared" si="1"/>
        <v>99</v>
      </c>
      <c r="C103" s="37" t="s">
        <v>164</v>
      </c>
    </row>
    <row r="104" spans="2:3" ht="13.5">
      <c r="B104" s="33">
        <f t="shared" si="1"/>
        <v>100</v>
      </c>
      <c r="C104" s="36" t="s">
        <v>455</v>
      </c>
    </row>
    <row r="105" spans="2:3" ht="13.5">
      <c r="B105" s="33">
        <f t="shared" si="1"/>
        <v>101</v>
      </c>
      <c r="C105" s="37" t="s">
        <v>69</v>
      </c>
    </row>
    <row r="106" spans="2:3" ht="13.5">
      <c r="B106" s="33">
        <f t="shared" si="1"/>
        <v>102</v>
      </c>
      <c r="C106" s="36" t="s">
        <v>456</v>
      </c>
    </row>
    <row r="107" spans="2:3" ht="13.5">
      <c r="B107" s="33">
        <f t="shared" si="1"/>
        <v>103</v>
      </c>
      <c r="C107" s="36" t="s">
        <v>457</v>
      </c>
    </row>
    <row r="108" spans="2:3" ht="13.5">
      <c r="B108" s="33">
        <f t="shared" si="1"/>
        <v>104</v>
      </c>
      <c r="C108" s="36" t="s">
        <v>458</v>
      </c>
    </row>
    <row r="109" spans="2:3" ht="13.5">
      <c r="B109" s="33">
        <f t="shared" si="1"/>
        <v>105</v>
      </c>
      <c r="C109" s="37" t="s">
        <v>165</v>
      </c>
    </row>
    <row r="110" spans="2:3" ht="13.5">
      <c r="B110" s="33">
        <f t="shared" si="1"/>
        <v>106</v>
      </c>
      <c r="C110" s="37" t="s">
        <v>168</v>
      </c>
    </row>
    <row r="111" spans="2:3" ht="13.5">
      <c r="B111" s="33">
        <f t="shared" si="1"/>
        <v>107</v>
      </c>
      <c r="C111" s="39" t="s">
        <v>169</v>
      </c>
    </row>
    <row r="112" spans="2:3" ht="13.5">
      <c r="B112" s="33">
        <f t="shared" si="1"/>
        <v>108</v>
      </c>
      <c r="C112" s="37" t="s">
        <v>170</v>
      </c>
    </row>
    <row r="113" spans="2:3" ht="13.5">
      <c r="B113" s="33">
        <f t="shared" si="1"/>
        <v>109</v>
      </c>
      <c r="C113" s="37" t="s">
        <v>171</v>
      </c>
    </row>
    <row r="114" spans="2:3" ht="13.5">
      <c r="B114" s="33">
        <f t="shared" si="1"/>
        <v>110</v>
      </c>
      <c r="C114" s="36" t="s">
        <v>459</v>
      </c>
    </row>
    <row r="115" spans="2:3" ht="13.5">
      <c r="B115" s="33">
        <f t="shared" si="1"/>
        <v>111</v>
      </c>
      <c r="C115" s="36" t="s">
        <v>460</v>
      </c>
    </row>
    <row r="116" spans="2:3" ht="13.5">
      <c r="B116" s="33">
        <f t="shared" si="1"/>
        <v>112</v>
      </c>
      <c r="C116" s="36" t="s">
        <v>461</v>
      </c>
    </row>
    <row r="117" spans="2:3" ht="13.5">
      <c r="B117" s="33">
        <f t="shared" si="1"/>
        <v>113</v>
      </c>
      <c r="C117" s="40" t="s">
        <v>172</v>
      </c>
    </row>
    <row r="118" spans="2:3" ht="13.5">
      <c r="B118" s="33">
        <f t="shared" si="1"/>
        <v>114</v>
      </c>
      <c r="C118" s="36" t="s">
        <v>173</v>
      </c>
    </row>
    <row r="119" spans="2:3" ht="13.5">
      <c r="B119" s="33">
        <f t="shared" si="1"/>
        <v>115</v>
      </c>
      <c r="C119" s="36" t="s">
        <v>355</v>
      </c>
    </row>
    <row r="120" spans="2:3" ht="13.5">
      <c r="B120" s="33">
        <f t="shared" si="1"/>
        <v>116</v>
      </c>
      <c r="C120" s="36" t="s">
        <v>70</v>
      </c>
    </row>
    <row r="121" spans="2:3" ht="13.5">
      <c r="B121" s="33">
        <f t="shared" si="1"/>
        <v>117</v>
      </c>
      <c r="C121" s="36" t="s">
        <v>462</v>
      </c>
    </row>
    <row r="122" spans="2:3" ht="13.5">
      <c r="B122" s="33">
        <f t="shared" si="1"/>
        <v>118</v>
      </c>
      <c r="C122" s="36" t="s">
        <v>463</v>
      </c>
    </row>
    <row r="123" spans="2:3" ht="13.5">
      <c r="B123" s="33">
        <f t="shared" si="1"/>
        <v>119</v>
      </c>
      <c r="C123" s="36" t="s">
        <v>174</v>
      </c>
    </row>
    <row r="124" spans="2:3" ht="13.5">
      <c r="B124" s="33">
        <f t="shared" si="1"/>
        <v>120</v>
      </c>
      <c r="C124" s="36" t="s">
        <v>71</v>
      </c>
    </row>
    <row r="125" spans="2:3" ht="13.5">
      <c r="B125" s="33">
        <f t="shared" si="1"/>
        <v>121</v>
      </c>
      <c r="C125" s="36" t="s">
        <v>72</v>
      </c>
    </row>
    <row r="126" spans="2:3" ht="13.5">
      <c r="B126" s="33">
        <f t="shared" si="1"/>
        <v>122</v>
      </c>
      <c r="C126" s="36" t="s">
        <v>73</v>
      </c>
    </row>
    <row r="127" spans="2:3" ht="13.5">
      <c r="B127" s="33">
        <f t="shared" si="1"/>
        <v>123</v>
      </c>
      <c r="C127" s="36" t="s">
        <v>175</v>
      </c>
    </row>
    <row r="128" spans="2:3" ht="13.5">
      <c r="B128" s="33">
        <f t="shared" si="1"/>
        <v>124</v>
      </c>
      <c r="C128" s="36" t="s">
        <v>464</v>
      </c>
    </row>
    <row r="129" spans="2:3" ht="13.5">
      <c r="B129" s="33">
        <f t="shared" si="1"/>
        <v>125</v>
      </c>
      <c r="C129" s="36" t="s">
        <v>465</v>
      </c>
    </row>
    <row r="130" spans="2:3" ht="13.5">
      <c r="B130" s="33">
        <f t="shared" si="1"/>
        <v>126</v>
      </c>
      <c r="C130" s="36" t="s">
        <v>176</v>
      </c>
    </row>
    <row r="131" spans="2:3" ht="13.5">
      <c r="B131" s="33">
        <f t="shared" si="1"/>
        <v>127</v>
      </c>
      <c r="C131" s="36" t="s">
        <v>177</v>
      </c>
    </row>
    <row r="132" spans="2:3" ht="13.5">
      <c r="B132" s="33">
        <f t="shared" si="1"/>
        <v>128</v>
      </c>
      <c r="C132" s="36" t="s">
        <v>466</v>
      </c>
    </row>
    <row r="133" spans="2:3" ht="13.5">
      <c r="B133" s="33">
        <f t="shared" si="1"/>
        <v>129</v>
      </c>
      <c r="C133" s="37" t="s">
        <v>354</v>
      </c>
    </row>
    <row r="134" spans="2:3" ht="13.5">
      <c r="B134" s="33">
        <f t="shared" si="1"/>
        <v>130</v>
      </c>
      <c r="C134" s="36" t="s">
        <v>178</v>
      </c>
    </row>
    <row r="135" spans="2:3" ht="13.5">
      <c r="B135" s="33">
        <f aca="true" t="shared" si="2" ref="B135:B198">B134+1</f>
        <v>131</v>
      </c>
      <c r="C135" s="36" t="s">
        <v>74</v>
      </c>
    </row>
    <row r="136" spans="2:3" ht="13.5">
      <c r="B136" s="33">
        <f t="shared" si="2"/>
        <v>132</v>
      </c>
      <c r="C136" s="36" t="s">
        <v>467</v>
      </c>
    </row>
    <row r="137" spans="2:3" ht="13.5">
      <c r="B137" s="33">
        <f t="shared" si="2"/>
        <v>133</v>
      </c>
      <c r="C137" s="36" t="s">
        <v>179</v>
      </c>
    </row>
    <row r="138" spans="2:3" ht="13.5">
      <c r="B138" s="33">
        <f t="shared" si="2"/>
        <v>134</v>
      </c>
      <c r="C138" s="36" t="s">
        <v>468</v>
      </c>
    </row>
    <row r="139" spans="2:3" ht="13.5">
      <c r="B139" s="33">
        <f t="shared" si="2"/>
        <v>135</v>
      </c>
      <c r="C139" s="36" t="s">
        <v>469</v>
      </c>
    </row>
    <row r="140" spans="2:3" ht="13.5">
      <c r="B140" s="33">
        <f t="shared" si="2"/>
        <v>136</v>
      </c>
      <c r="C140" s="36" t="s">
        <v>180</v>
      </c>
    </row>
    <row r="141" spans="2:3" ht="13.5">
      <c r="B141" s="33">
        <f t="shared" si="2"/>
        <v>137</v>
      </c>
      <c r="C141" s="36" t="s">
        <v>356</v>
      </c>
    </row>
    <row r="142" spans="2:3" ht="13.5">
      <c r="B142" s="33">
        <f t="shared" si="2"/>
        <v>138</v>
      </c>
      <c r="C142" s="36" t="s">
        <v>470</v>
      </c>
    </row>
    <row r="143" spans="2:3" ht="13.5">
      <c r="B143" s="33">
        <f t="shared" si="2"/>
        <v>139</v>
      </c>
      <c r="C143" s="36" t="s">
        <v>471</v>
      </c>
    </row>
    <row r="144" spans="2:3" ht="13.5">
      <c r="B144" s="33">
        <f t="shared" si="2"/>
        <v>140</v>
      </c>
      <c r="C144" s="36" t="s">
        <v>75</v>
      </c>
    </row>
    <row r="145" spans="2:3" ht="13.5">
      <c r="B145" s="33">
        <f t="shared" si="2"/>
        <v>141</v>
      </c>
      <c r="C145" s="36" t="s">
        <v>181</v>
      </c>
    </row>
    <row r="146" spans="2:3" ht="13.5">
      <c r="B146" s="33">
        <f t="shared" si="2"/>
        <v>142</v>
      </c>
      <c r="C146" s="36" t="s">
        <v>472</v>
      </c>
    </row>
    <row r="147" spans="2:3" ht="13.5">
      <c r="B147" s="33">
        <f t="shared" si="2"/>
        <v>143</v>
      </c>
      <c r="C147" s="36" t="s">
        <v>473</v>
      </c>
    </row>
    <row r="148" spans="2:3" ht="13.5">
      <c r="B148" s="33">
        <f t="shared" si="2"/>
        <v>144</v>
      </c>
      <c r="C148" s="36" t="s">
        <v>182</v>
      </c>
    </row>
    <row r="149" spans="2:3" ht="13.5">
      <c r="B149" s="33">
        <f t="shared" si="2"/>
        <v>145</v>
      </c>
      <c r="C149" s="36" t="s">
        <v>183</v>
      </c>
    </row>
    <row r="150" spans="2:3" ht="13.5">
      <c r="B150" s="33">
        <f t="shared" si="2"/>
        <v>146</v>
      </c>
      <c r="C150" s="36" t="s">
        <v>184</v>
      </c>
    </row>
    <row r="151" spans="2:3" ht="13.5">
      <c r="B151" s="33">
        <f t="shared" si="2"/>
        <v>147</v>
      </c>
      <c r="C151" s="36" t="s">
        <v>185</v>
      </c>
    </row>
    <row r="152" spans="2:3" ht="13.5">
      <c r="B152" s="33">
        <f t="shared" si="2"/>
        <v>148</v>
      </c>
      <c r="C152" s="36" t="s">
        <v>474</v>
      </c>
    </row>
    <row r="153" spans="2:3" ht="13.5">
      <c r="B153" s="33">
        <f t="shared" si="2"/>
        <v>149</v>
      </c>
      <c r="C153" s="36" t="s">
        <v>475</v>
      </c>
    </row>
    <row r="154" spans="2:3" ht="13.5">
      <c r="B154" s="33">
        <f t="shared" si="2"/>
        <v>150</v>
      </c>
      <c r="C154" s="36" t="s">
        <v>476</v>
      </c>
    </row>
    <row r="155" spans="2:3" ht="13.5">
      <c r="B155" s="33">
        <f t="shared" si="2"/>
        <v>151</v>
      </c>
      <c r="C155" s="36" t="s">
        <v>357</v>
      </c>
    </row>
    <row r="156" spans="2:3" ht="13.5">
      <c r="B156" s="33">
        <f t="shared" si="2"/>
        <v>152</v>
      </c>
      <c r="C156" s="36" t="s">
        <v>477</v>
      </c>
    </row>
    <row r="157" spans="2:3" ht="13.5">
      <c r="B157" s="33">
        <f t="shared" si="2"/>
        <v>153</v>
      </c>
      <c r="C157" s="36" t="s">
        <v>186</v>
      </c>
    </row>
    <row r="158" spans="2:3" ht="13.5">
      <c r="B158" s="33">
        <f t="shared" si="2"/>
        <v>154</v>
      </c>
      <c r="C158" s="36" t="s">
        <v>187</v>
      </c>
    </row>
    <row r="159" spans="2:3" ht="13.5">
      <c r="B159" s="33">
        <f t="shared" si="2"/>
        <v>155</v>
      </c>
      <c r="C159" s="36" t="s">
        <v>188</v>
      </c>
    </row>
    <row r="160" spans="2:3" ht="13.5">
      <c r="B160" s="33">
        <f t="shared" si="2"/>
        <v>156</v>
      </c>
      <c r="C160" s="36" t="s">
        <v>478</v>
      </c>
    </row>
    <row r="161" spans="2:3" ht="13.5">
      <c r="B161" s="33">
        <f t="shared" si="2"/>
        <v>157</v>
      </c>
      <c r="C161" s="36" t="s">
        <v>358</v>
      </c>
    </row>
    <row r="162" spans="2:3" ht="13.5">
      <c r="B162" s="33">
        <f t="shared" si="2"/>
        <v>158</v>
      </c>
      <c r="C162" s="36" t="s">
        <v>479</v>
      </c>
    </row>
    <row r="163" spans="2:3" ht="13.5">
      <c r="B163" s="33">
        <f t="shared" si="2"/>
        <v>159</v>
      </c>
      <c r="C163" s="36" t="s">
        <v>481</v>
      </c>
    </row>
    <row r="164" spans="2:3" ht="13.5">
      <c r="B164" s="33">
        <f t="shared" si="2"/>
        <v>160</v>
      </c>
      <c r="C164" s="36" t="s">
        <v>76</v>
      </c>
    </row>
    <row r="165" spans="2:3" ht="13.5">
      <c r="B165" s="33">
        <f t="shared" si="2"/>
        <v>161</v>
      </c>
      <c r="C165" s="36" t="s">
        <v>77</v>
      </c>
    </row>
    <row r="166" spans="2:3" ht="13.5">
      <c r="B166" s="33">
        <f t="shared" si="2"/>
        <v>162</v>
      </c>
      <c r="C166" s="36" t="s">
        <v>359</v>
      </c>
    </row>
    <row r="167" spans="2:3" ht="13.5">
      <c r="B167" s="33">
        <f t="shared" si="2"/>
        <v>163</v>
      </c>
      <c r="C167" s="36" t="s">
        <v>482</v>
      </c>
    </row>
    <row r="168" spans="2:3" ht="13.5">
      <c r="B168" s="33">
        <f t="shared" si="2"/>
        <v>164</v>
      </c>
      <c r="C168" s="36" t="s">
        <v>483</v>
      </c>
    </row>
    <row r="169" spans="2:3" ht="13.5">
      <c r="B169" s="33">
        <f t="shared" si="2"/>
        <v>165</v>
      </c>
      <c r="C169" s="36" t="s">
        <v>360</v>
      </c>
    </row>
    <row r="170" spans="2:3" ht="13.5">
      <c r="B170" s="33">
        <f t="shared" si="2"/>
        <v>166</v>
      </c>
      <c r="C170" s="36" t="s">
        <v>484</v>
      </c>
    </row>
    <row r="171" spans="2:3" ht="13.5">
      <c r="B171" s="33">
        <f t="shared" si="2"/>
        <v>167</v>
      </c>
      <c r="C171" s="36" t="s">
        <v>485</v>
      </c>
    </row>
    <row r="172" spans="2:3" ht="13.5">
      <c r="B172" s="33">
        <f t="shared" si="2"/>
        <v>168</v>
      </c>
      <c r="C172" s="36" t="s">
        <v>189</v>
      </c>
    </row>
    <row r="173" spans="2:3" ht="13.5">
      <c r="B173" s="33">
        <f t="shared" si="2"/>
        <v>169</v>
      </c>
      <c r="C173" s="36" t="s">
        <v>190</v>
      </c>
    </row>
    <row r="174" spans="2:3" ht="13.5">
      <c r="B174" s="33">
        <f t="shared" si="2"/>
        <v>170</v>
      </c>
      <c r="C174" s="36" t="s">
        <v>191</v>
      </c>
    </row>
    <row r="175" spans="2:3" ht="13.5">
      <c r="B175" s="33">
        <f t="shared" si="2"/>
        <v>171</v>
      </c>
      <c r="C175" s="36" t="s">
        <v>486</v>
      </c>
    </row>
    <row r="176" spans="2:3" ht="13.5">
      <c r="B176" s="33">
        <f t="shared" si="2"/>
        <v>172</v>
      </c>
      <c r="C176" s="36" t="s">
        <v>192</v>
      </c>
    </row>
    <row r="177" spans="2:3" ht="13.5">
      <c r="B177" s="33">
        <f t="shared" si="2"/>
        <v>173</v>
      </c>
      <c r="C177" s="36" t="s">
        <v>193</v>
      </c>
    </row>
    <row r="178" spans="2:3" ht="13.5">
      <c r="B178" s="33">
        <f t="shared" si="2"/>
        <v>174</v>
      </c>
      <c r="C178" s="36" t="s">
        <v>487</v>
      </c>
    </row>
    <row r="179" spans="2:3" ht="13.5">
      <c r="B179" s="33">
        <f t="shared" si="2"/>
        <v>175</v>
      </c>
      <c r="C179" s="36" t="s">
        <v>194</v>
      </c>
    </row>
    <row r="180" spans="2:3" ht="13.5">
      <c r="B180" s="33">
        <f t="shared" si="2"/>
        <v>176</v>
      </c>
      <c r="C180" s="36" t="s">
        <v>361</v>
      </c>
    </row>
    <row r="181" spans="2:3" ht="13.5">
      <c r="B181" s="33">
        <f t="shared" si="2"/>
        <v>177</v>
      </c>
      <c r="C181" s="36" t="s">
        <v>488</v>
      </c>
    </row>
    <row r="182" spans="2:3" ht="13.5">
      <c r="B182" s="33">
        <f t="shared" si="2"/>
        <v>178</v>
      </c>
      <c r="C182" s="36" t="s">
        <v>489</v>
      </c>
    </row>
    <row r="183" spans="2:3" ht="13.5">
      <c r="B183" s="33">
        <f t="shared" si="2"/>
        <v>179</v>
      </c>
      <c r="C183" s="36" t="s">
        <v>195</v>
      </c>
    </row>
    <row r="184" spans="2:3" ht="13.5">
      <c r="B184" s="33">
        <f t="shared" si="2"/>
        <v>180</v>
      </c>
      <c r="C184" s="36" t="s">
        <v>490</v>
      </c>
    </row>
    <row r="185" spans="2:3" ht="13.5">
      <c r="B185" s="33">
        <f t="shared" si="2"/>
        <v>181</v>
      </c>
      <c r="C185" s="36" t="s">
        <v>362</v>
      </c>
    </row>
    <row r="186" spans="2:3" ht="13.5">
      <c r="B186" s="33">
        <f t="shared" si="2"/>
        <v>182</v>
      </c>
      <c r="C186" s="36" t="s">
        <v>196</v>
      </c>
    </row>
    <row r="187" spans="2:3" ht="13.5">
      <c r="B187" s="33">
        <f t="shared" si="2"/>
        <v>183</v>
      </c>
      <c r="C187" s="36" t="s">
        <v>491</v>
      </c>
    </row>
    <row r="188" spans="2:3" ht="13.5">
      <c r="B188" s="33">
        <f t="shared" si="2"/>
        <v>184</v>
      </c>
      <c r="C188" s="36" t="s">
        <v>197</v>
      </c>
    </row>
    <row r="189" spans="2:3" ht="13.5">
      <c r="B189" s="33">
        <f t="shared" si="2"/>
        <v>185</v>
      </c>
      <c r="C189" s="36" t="s">
        <v>492</v>
      </c>
    </row>
    <row r="190" spans="2:3" ht="13.5">
      <c r="B190" s="33">
        <f t="shared" si="2"/>
        <v>186</v>
      </c>
      <c r="C190" s="36" t="s">
        <v>198</v>
      </c>
    </row>
    <row r="191" spans="2:3" ht="13.5">
      <c r="B191" s="33">
        <f t="shared" si="2"/>
        <v>187</v>
      </c>
      <c r="C191" s="36" t="s">
        <v>493</v>
      </c>
    </row>
    <row r="192" spans="2:3" ht="13.5">
      <c r="B192" s="33">
        <f t="shared" si="2"/>
        <v>188</v>
      </c>
      <c r="C192" s="36" t="s">
        <v>364</v>
      </c>
    </row>
    <row r="193" spans="2:3" ht="13.5">
      <c r="B193" s="33">
        <f t="shared" si="2"/>
        <v>189</v>
      </c>
      <c r="C193" s="36" t="s">
        <v>199</v>
      </c>
    </row>
    <row r="194" spans="2:3" ht="13.5">
      <c r="B194" s="33">
        <f t="shared" si="2"/>
        <v>190</v>
      </c>
      <c r="C194" s="36" t="s">
        <v>363</v>
      </c>
    </row>
    <row r="195" spans="2:3" ht="13.5">
      <c r="B195" s="33">
        <f t="shared" si="2"/>
        <v>191</v>
      </c>
      <c r="C195" s="36" t="s">
        <v>494</v>
      </c>
    </row>
    <row r="196" spans="2:3" ht="13.5">
      <c r="B196" s="33">
        <f t="shared" si="2"/>
        <v>192</v>
      </c>
      <c r="C196" s="36" t="s">
        <v>78</v>
      </c>
    </row>
    <row r="197" spans="2:3" ht="13.5">
      <c r="B197" s="33">
        <f t="shared" si="2"/>
        <v>193</v>
      </c>
      <c r="C197" s="36" t="s">
        <v>495</v>
      </c>
    </row>
    <row r="198" spans="2:3" ht="13.5">
      <c r="B198" s="33">
        <f t="shared" si="2"/>
        <v>194</v>
      </c>
      <c r="C198" s="36" t="s">
        <v>497</v>
      </c>
    </row>
    <row r="199" spans="2:3" ht="13.5">
      <c r="B199" s="33">
        <f aca="true" t="shared" si="3" ref="B199:B262">B198+1</f>
        <v>195</v>
      </c>
      <c r="C199" s="36" t="s">
        <v>200</v>
      </c>
    </row>
    <row r="200" spans="2:3" ht="13.5">
      <c r="B200" s="33">
        <f t="shared" si="3"/>
        <v>196</v>
      </c>
      <c r="C200" s="36" t="s">
        <v>79</v>
      </c>
    </row>
    <row r="201" spans="2:3" ht="13.5">
      <c r="B201" s="33">
        <f t="shared" si="3"/>
        <v>197</v>
      </c>
      <c r="C201" s="36" t="s">
        <v>201</v>
      </c>
    </row>
    <row r="202" spans="2:3" ht="13.5">
      <c r="B202" s="33">
        <f t="shared" si="3"/>
        <v>198</v>
      </c>
      <c r="C202" s="36" t="s">
        <v>496</v>
      </c>
    </row>
    <row r="203" spans="2:3" ht="13.5">
      <c r="B203" s="33">
        <f t="shared" si="3"/>
        <v>199</v>
      </c>
      <c r="C203" s="36" t="s">
        <v>202</v>
      </c>
    </row>
    <row r="204" spans="2:3" ht="13.5">
      <c r="B204" s="33">
        <f t="shared" si="3"/>
        <v>200</v>
      </c>
      <c r="C204" s="36" t="s">
        <v>365</v>
      </c>
    </row>
    <row r="205" spans="2:3" ht="13.5">
      <c r="B205" s="33">
        <f t="shared" si="3"/>
        <v>201</v>
      </c>
      <c r="C205" s="36" t="s">
        <v>498</v>
      </c>
    </row>
    <row r="206" spans="2:3" ht="13.5">
      <c r="B206" s="33">
        <f t="shared" si="3"/>
        <v>202</v>
      </c>
      <c r="C206" s="36" t="s">
        <v>499</v>
      </c>
    </row>
    <row r="207" spans="2:3" ht="13.5">
      <c r="B207" s="33">
        <f t="shared" si="3"/>
        <v>203</v>
      </c>
      <c r="C207" s="36" t="s">
        <v>500</v>
      </c>
    </row>
    <row r="208" spans="2:3" ht="13.5">
      <c r="B208" s="33">
        <f t="shared" si="3"/>
        <v>204</v>
      </c>
      <c r="C208" s="36" t="s">
        <v>501</v>
      </c>
    </row>
    <row r="209" spans="2:3" ht="13.5">
      <c r="B209" s="33">
        <f t="shared" si="3"/>
        <v>205</v>
      </c>
      <c r="C209" s="36" t="s">
        <v>502</v>
      </c>
    </row>
    <row r="210" spans="2:3" ht="13.5">
      <c r="B210" s="33">
        <f t="shared" si="3"/>
        <v>206</v>
      </c>
      <c r="C210" s="36" t="s">
        <v>366</v>
      </c>
    </row>
    <row r="211" spans="2:3" ht="13.5">
      <c r="B211" s="33">
        <f t="shared" si="3"/>
        <v>207</v>
      </c>
      <c r="C211" s="36" t="s">
        <v>503</v>
      </c>
    </row>
    <row r="212" spans="2:3" ht="13.5">
      <c r="B212" s="33">
        <f t="shared" si="3"/>
        <v>208</v>
      </c>
      <c r="C212" s="36" t="s">
        <v>504</v>
      </c>
    </row>
    <row r="213" spans="2:3" ht="13.5">
      <c r="B213" s="33">
        <f t="shared" si="3"/>
        <v>209</v>
      </c>
      <c r="C213" s="36" t="s">
        <v>203</v>
      </c>
    </row>
    <row r="214" spans="2:3" ht="13.5">
      <c r="B214" s="33">
        <f t="shared" si="3"/>
        <v>210</v>
      </c>
      <c r="C214" s="36" t="s">
        <v>204</v>
      </c>
    </row>
    <row r="215" spans="2:3" ht="13.5">
      <c r="B215" s="33">
        <f t="shared" si="3"/>
        <v>211</v>
      </c>
      <c r="C215" s="36" t="s">
        <v>205</v>
      </c>
    </row>
    <row r="216" spans="2:3" ht="13.5">
      <c r="B216" s="33">
        <f t="shared" si="3"/>
        <v>212</v>
      </c>
      <c r="C216" s="36" t="s">
        <v>505</v>
      </c>
    </row>
    <row r="217" spans="2:3" ht="13.5">
      <c r="B217" s="33">
        <f t="shared" si="3"/>
        <v>213</v>
      </c>
      <c r="C217" s="36" t="s">
        <v>80</v>
      </c>
    </row>
    <row r="218" spans="2:3" ht="13.5">
      <c r="B218" s="33">
        <f t="shared" si="3"/>
        <v>214</v>
      </c>
      <c r="C218" s="36" t="s">
        <v>206</v>
      </c>
    </row>
    <row r="219" spans="2:3" ht="13.5">
      <c r="B219" s="33">
        <f t="shared" si="3"/>
        <v>215</v>
      </c>
      <c r="C219" s="36" t="s">
        <v>207</v>
      </c>
    </row>
    <row r="220" spans="2:3" ht="13.5">
      <c r="B220" s="33">
        <f t="shared" si="3"/>
        <v>216</v>
      </c>
      <c r="C220" s="36" t="s">
        <v>81</v>
      </c>
    </row>
    <row r="221" spans="2:3" ht="13.5">
      <c r="B221" s="33">
        <f t="shared" si="3"/>
        <v>217</v>
      </c>
      <c r="C221" s="36" t="s">
        <v>367</v>
      </c>
    </row>
    <row r="222" spans="2:3" ht="13.5">
      <c r="B222" s="33">
        <f t="shared" si="3"/>
        <v>218</v>
      </c>
      <c r="C222" s="36" t="s">
        <v>368</v>
      </c>
    </row>
    <row r="223" spans="2:3" ht="13.5">
      <c r="B223" s="33">
        <f t="shared" si="3"/>
        <v>219</v>
      </c>
      <c r="C223" s="36" t="s">
        <v>506</v>
      </c>
    </row>
    <row r="224" spans="2:3" ht="13.5">
      <c r="B224" s="33">
        <f t="shared" si="3"/>
        <v>220</v>
      </c>
      <c r="C224" s="36" t="s">
        <v>369</v>
      </c>
    </row>
    <row r="225" spans="2:3" ht="13.5">
      <c r="B225" s="33">
        <f t="shared" si="3"/>
        <v>221</v>
      </c>
      <c r="C225" s="36" t="s">
        <v>208</v>
      </c>
    </row>
    <row r="226" spans="2:3" ht="13.5">
      <c r="B226" s="33">
        <f t="shared" si="3"/>
        <v>222</v>
      </c>
      <c r="C226" s="36" t="s">
        <v>507</v>
      </c>
    </row>
    <row r="227" spans="2:3" ht="13.5">
      <c r="B227" s="33">
        <f t="shared" si="3"/>
        <v>223</v>
      </c>
      <c r="C227" s="36" t="s">
        <v>209</v>
      </c>
    </row>
    <row r="228" spans="2:3" ht="13.5">
      <c r="B228" s="33">
        <f t="shared" si="3"/>
        <v>224</v>
      </c>
      <c r="C228" s="36" t="s">
        <v>370</v>
      </c>
    </row>
    <row r="229" spans="2:3" ht="13.5">
      <c r="B229" s="33">
        <f t="shared" si="3"/>
        <v>225</v>
      </c>
      <c r="C229" s="36" t="s">
        <v>210</v>
      </c>
    </row>
    <row r="230" spans="2:3" ht="13.5">
      <c r="B230" s="33">
        <f t="shared" si="3"/>
        <v>226</v>
      </c>
      <c r="C230" s="36" t="s">
        <v>508</v>
      </c>
    </row>
    <row r="231" spans="2:3" ht="13.5">
      <c r="B231" s="33">
        <f t="shared" si="3"/>
        <v>227</v>
      </c>
      <c r="C231" s="36" t="s">
        <v>371</v>
      </c>
    </row>
    <row r="232" spans="2:3" ht="13.5">
      <c r="B232" s="33">
        <f t="shared" si="3"/>
        <v>228</v>
      </c>
      <c r="C232" s="36" t="s">
        <v>82</v>
      </c>
    </row>
    <row r="233" spans="2:3" ht="13.5">
      <c r="B233" s="33">
        <f t="shared" si="3"/>
        <v>229</v>
      </c>
      <c r="C233" s="36" t="s">
        <v>509</v>
      </c>
    </row>
    <row r="234" spans="2:3" ht="13.5">
      <c r="B234" s="33">
        <f t="shared" si="3"/>
        <v>230</v>
      </c>
      <c r="C234" s="36" t="s">
        <v>510</v>
      </c>
    </row>
    <row r="235" spans="2:3" ht="13.5">
      <c r="B235" s="33">
        <f t="shared" si="3"/>
        <v>231</v>
      </c>
      <c r="C235" s="36" t="s">
        <v>511</v>
      </c>
    </row>
    <row r="236" spans="2:3" ht="13.5">
      <c r="B236" s="33">
        <f t="shared" si="3"/>
        <v>232</v>
      </c>
      <c r="C236" s="36" t="s">
        <v>83</v>
      </c>
    </row>
    <row r="237" spans="2:3" ht="13.5">
      <c r="B237" s="33">
        <f t="shared" si="3"/>
        <v>233</v>
      </c>
      <c r="C237" s="36" t="s">
        <v>211</v>
      </c>
    </row>
    <row r="238" spans="2:3" ht="13.5">
      <c r="B238" s="33">
        <f t="shared" si="3"/>
        <v>234</v>
      </c>
      <c r="C238" s="36" t="s">
        <v>512</v>
      </c>
    </row>
    <row r="239" spans="2:3" ht="13.5">
      <c r="B239" s="33">
        <f t="shared" si="3"/>
        <v>235</v>
      </c>
      <c r="C239" s="36" t="s">
        <v>372</v>
      </c>
    </row>
    <row r="240" spans="2:3" ht="13.5">
      <c r="B240" s="33">
        <f t="shared" si="3"/>
        <v>236</v>
      </c>
      <c r="C240" s="36" t="s">
        <v>84</v>
      </c>
    </row>
    <row r="241" spans="2:3" ht="13.5">
      <c r="B241" s="33">
        <f t="shared" si="3"/>
        <v>237</v>
      </c>
      <c r="C241" s="36" t="s">
        <v>212</v>
      </c>
    </row>
    <row r="242" spans="2:3" ht="13.5">
      <c r="B242" s="33">
        <f t="shared" si="3"/>
        <v>238</v>
      </c>
      <c r="C242" s="36" t="s">
        <v>513</v>
      </c>
    </row>
    <row r="243" spans="2:3" ht="13.5">
      <c r="B243" s="33">
        <f t="shared" si="3"/>
        <v>239</v>
      </c>
      <c r="C243" s="36" t="s">
        <v>514</v>
      </c>
    </row>
    <row r="244" spans="2:3" ht="13.5">
      <c r="B244" s="33">
        <f t="shared" si="3"/>
        <v>240</v>
      </c>
      <c r="C244" s="36" t="s">
        <v>515</v>
      </c>
    </row>
    <row r="245" spans="2:3" ht="13.5">
      <c r="B245" s="33">
        <f t="shared" si="3"/>
        <v>241</v>
      </c>
      <c r="C245" s="36" t="s">
        <v>516</v>
      </c>
    </row>
    <row r="246" spans="2:3" ht="13.5">
      <c r="B246" s="33">
        <f t="shared" si="3"/>
        <v>242</v>
      </c>
      <c r="C246" s="36" t="s">
        <v>517</v>
      </c>
    </row>
    <row r="247" spans="2:3" ht="13.5">
      <c r="B247" s="33">
        <f t="shared" si="3"/>
        <v>243</v>
      </c>
      <c r="C247" s="36" t="s">
        <v>518</v>
      </c>
    </row>
    <row r="248" spans="2:3" ht="13.5">
      <c r="B248" s="33">
        <f t="shared" si="3"/>
        <v>244</v>
      </c>
      <c r="C248" s="36" t="s">
        <v>519</v>
      </c>
    </row>
    <row r="249" spans="2:3" ht="13.5">
      <c r="B249" s="33">
        <f t="shared" si="3"/>
        <v>245</v>
      </c>
      <c r="C249" s="36" t="s">
        <v>520</v>
      </c>
    </row>
    <row r="250" spans="2:3" ht="13.5">
      <c r="B250" s="33">
        <f t="shared" si="3"/>
        <v>246</v>
      </c>
      <c r="C250" s="36" t="s">
        <v>373</v>
      </c>
    </row>
    <row r="251" spans="2:3" ht="13.5">
      <c r="B251" s="33">
        <f t="shared" si="3"/>
        <v>247</v>
      </c>
      <c r="C251" s="36" t="s">
        <v>213</v>
      </c>
    </row>
    <row r="252" spans="2:3" ht="13.5">
      <c r="B252" s="33">
        <f t="shared" si="3"/>
        <v>248</v>
      </c>
      <c r="C252" s="36" t="s">
        <v>374</v>
      </c>
    </row>
    <row r="253" spans="2:3" ht="13.5">
      <c r="B253" s="33">
        <f t="shared" si="3"/>
        <v>249</v>
      </c>
      <c r="C253" s="36" t="s">
        <v>214</v>
      </c>
    </row>
    <row r="254" spans="2:3" ht="13.5">
      <c r="B254" s="33">
        <f t="shared" si="3"/>
        <v>250</v>
      </c>
      <c r="C254" s="36" t="s">
        <v>215</v>
      </c>
    </row>
    <row r="255" spans="2:3" ht="13.5">
      <c r="B255" s="33">
        <f t="shared" si="3"/>
        <v>251</v>
      </c>
      <c r="C255" s="36" t="s">
        <v>521</v>
      </c>
    </row>
    <row r="256" spans="2:3" ht="13.5">
      <c r="B256" s="33">
        <f t="shared" si="3"/>
        <v>252</v>
      </c>
      <c r="C256" s="36" t="s">
        <v>522</v>
      </c>
    </row>
    <row r="257" spans="2:3" ht="13.5">
      <c r="B257" s="33">
        <f t="shared" si="3"/>
        <v>253</v>
      </c>
      <c r="C257" s="36" t="s">
        <v>216</v>
      </c>
    </row>
    <row r="258" spans="2:3" ht="13.5">
      <c r="B258" s="33">
        <f t="shared" si="3"/>
        <v>254</v>
      </c>
      <c r="C258" s="36" t="s">
        <v>217</v>
      </c>
    </row>
    <row r="259" spans="2:3" ht="13.5">
      <c r="B259" s="33">
        <f t="shared" si="3"/>
        <v>255</v>
      </c>
      <c r="C259" s="36" t="s">
        <v>524</v>
      </c>
    </row>
    <row r="260" spans="2:3" ht="13.5">
      <c r="B260" s="33">
        <f t="shared" si="3"/>
        <v>256</v>
      </c>
      <c r="C260" s="36" t="s">
        <v>525</v>
      </c>
    </row>
    <row r="261" spans="2:3" ht="13.5">
      <c r="B261" s="33">
        <f t="shared" si="3"/>
        <v>257</v>
      </c>
      <c r="C261" s="36" t="s">
        <v>218</v>
      </c>
    </row>
    <row r="262" spans="2:3" ht="13.5">
      <c r="B262" s="33">
        <f t="shared" si="3"/>
        <v>258</v>
      </c>
      <c r="C262" s="36" t="s">
        <v>523</v>
      </c>
    </row>
    <row r="263" spans="2:3" ht="13.5">
      <c r="B263" s="33">
        <f aca="true" t="shared" si="4" ref="B263:B326">B262+1</f>
        <v>259</v>
      </c>
      <c r="C263" s="36" t="s">
        <v>526</v>
      </c>
    </row>
    <row r="264" spans="2:3" ht="13.5">
      <c r="B264" s="33">
        <f t="shared" si="4"/>
        <v>260</v>
      </c>
      <c r="C264" s="36" t="s">
        <v>219</v>
      </c>
    </row>
    <row r="265" spans="2:3" ht="13.5">
      <c r="B265" s="33">
        <f t="shared" si="4"/>
        <v>261</v>
      </c>
      <c r="C265" s="36" t="s">
        <v>527</v>
      </c>
    </row>
    <row r="266" spans="2:3" ht="13.5">
      <c r="B266" s="33">
        <f t="shared" si="4"/>
        <v>262</v>
      </c>
      <c r="C266" s="36" t="s">
        <v>375</v>
      </c>
    </row>
    <row r="267" spans="2:3" ht="13.5">
      <c r="B267" s="33">
        <f t="shared" si="4"/>
        <v>263</v>
      </c>
      <c r="C267" s="36" t="s">
        <v>85</v>
      </c>
    </row>
    <row r="268" spans="2:3" ht="13.5">
      <c r="B268" s="33">
        <f t="shared" si="4"/>
        <v>264</v>
      </c>
      <c r="C268" s="36" t="s">
        <v>528</v>
      </c>
    </row>
    <row r="269" spans="2:3" ht="13.5">
      <c r="B269" s="33">
        <f t="shared" si="4"/>
        <v>265</v>
      </c>
      <c r="C269" s="36" t="s">
        <v>529</v>
      </c>
    </row>
    <row r="270" spans="2:3" ht="13.5">
      <c r="B270" s="33">
        <f t="shared" si="4"/>
        <v>266</v>
      </c>
      <c r="C270" s="36" t="s">
        <v>220</v>
      </c>
    </row>
    <row r="271" spans="2:3" ht="13.5">
      <c r="B271" s="33">
        <f t="shared" si="4"/>
        <v>267</v>
      </c>
      <c r="C271" s="36" t="s">
        <v>221</v>
      </c>
    </row>
    <row r="272" spans="2:3" ht="13.5">
      <c r="B272" s="33">
        <f t="shared" si="4"/>
        <v>268</v>
      </c>
      <c r="C272" s="36" t="s">
        <v>530</v>
      </c>
    </row>
    <row r="273" spans="2:3" ht="13.5">
      <c r="B273" s="33">
        <f t="shared" si="4"/>
        <v>269</v>
      </c>
      <c r="C273" s="36" t="s">
        <v>222</v>
      </c>
    </row>
    <row r="274" spans="2:3" ht="13.5">
      <c r="B274" s="33">
        <f t="shared" si="4"/>
        <v>270</v>
      </c>
      <c r="C274" s="36" t="s">
        <v>531</v>
      </c>
    </row>
    <row r="275" spans="2:3" ht="13.5">
      <c r="B275" s="33">
        <f t="shared" si="4"/>
        <v>271</v>
      </c>
      <c r="C275" s="36" t="s">
        <v>376</v>
      </c>
    </row>
    <row r="276" spans="2:3" ht="13.5">
      <c r="B276" s="33">
        <f t="shared" si="4"/>
        <v>272</v>
      </c>
      <c r="C276" s="36" t="s">
        <v>223</v>
      </c>
    </row>
    <row r="277" spans="2:3" ht="13.5">
      <c r="B277" s="33">
        <f t="shared" si="4"/>
        <v>273</v>
      </c>
      <c r="C277" s="36" t="s">
        <v>377</v>
      </c>
    </row>
    <row r="278" spans="2:3" ht="13.5">
      <c r="B278" s="33">
        <f t="shared" si="4"/>
        <v>274</v>
      </c>
      <c r="C278" s="36" t="s">
        <v>224</v>
      </c>
    </row>
    <row r="279" spans="2:3" ht="13.5">
      <c r="B279" s="33">
        <f t="shared" si="4"/>
        <v>275</v>
      </c>
      <c r="C279" s="36" t="s">
        <v>532</v>
      </c>
    </row>
    <row r="280" spans="2:3" ht="13.5">
      <c r="B280" s="33">
        <f t="shared" si="4"/>
        <v>276</v>
      </c>
      <c r="C280" s="36" t="s">
        <v>533</v>
      </c>
    </row>
    <row r="281" spans="2:3" ht="13.5">
      <c r="B281" s="33">
        <f t="shared" si="4"/>
        <v>277</v>
      </c>
      <c r="C281" s="36" t="s">
        <v>378</v>
      </c>
    </row>
    <row r="282" spans="2:3" ht="13.5">
      <c r="B282" s="33">
        <f t="shared" si="4"/>
        <v>278</v>
      </c>
      <c r="C282" s="36" t="s">
        <v>225</v>
      </c>
    </row>
    <row r="283" spans="2:3" ht="13.5">
      <c r="B283" s="33">
        <f t="shared" si="4"/>
        <v>279</v>
      </c>
      <c r="C283" s="36" t="s">
        <v>226</v>
      </c>
    </row>
    <row r="284" spans="2:3" ht="13.5">
      <c r="B284" s="33">
        <f t="shared" si="4"/>
        <v>280</v>
      </c>
      <c r="C284" s="36" t="s">
        <v>227</v>
      </c>
    </row>
    <row r="285" spans="2:3" ht="13.5">
      <c r="B285" s="33">
        <f t="shared" si="4"/>
        <v>281</v>
      </c>
      <c r="C285" s="36" t="s">
        <v>534</v>
      </c>
    </row>
    <row r="286" spans="2:3" ht="13.5">
      <c r="B286" s="33">
        <f t="shared" si="4"/>
        <v>282</v>
      </c>
      <c r="C286" s="36" t="s">
        <v>228</v>
      </c>
    </row>
    <row r="287" spans="2:3" ht="13.5">
      <c r="B287" s="33">
        <f t="shared" si="4"/>
        <v>283</v>
      </c>
      <c r="C287" s="36" t="s">
        <v>535</v>
      </c>
    </row>
    <row r="288" spans="2:3" ht="13.5">
      <c r="B288" s="33">
        <f t="shared" si="4"/>
        <v>284</v>
      </c>
      <c r="C288" s="36" t="s">
        <v>229</v>
      </c>
    </row>
    <row r="289" spans="2:3" ht="13.5">
      <c r="B289" s="33">
        <f t="shared" si="4"/>
        <v>285</v>
      </c>
      <c r="C289" s="36" t="s">
        <v>536</v>
      </c>
    </row>
    <row r="290" spans="2:3" ht="13.5">
      <c r="B290" s="33">
        <f t="shared" si="4"/>
        <v>286</v>
      </c>
      <c r="C290" s="36" t="s">
        <v>537</v>
      </c>
    </row>
    <row r="291" spans="2:3" ht="13.5">
      <c r="B291" s="33">
        <f t="shared" si="4"/>
        <v>287</v>
      </c>
      <c r="C291" s="36" t="s">
        <v>230</v>
      </c>
    </row>
    <row r="292" spans="2:3" ht="13.5">
      <c r="B292" s="33">
        <f t="shared" si="4"/>
        <v>288</v>
      </c>
      <c r="C292" s="36" t="s">
        <v>231</v>
      </c>
    </row>
    <row r="293" spans="2:3" ht="13.5">
      <c r="B293" s="33">
        <f t="shared" si="4"/>
        <v>289</v>
      </c>
      <c r="C293" s="36" t="s">
        <v>538</v>
      </c>
    </row>
    <row r="294" spans="2:3" ht="13.5">
      <c r="B294" s="33">
        <f t="shared" si="4"/>
        <v>290</v>
      </c>
      <c r="C294" s="36" t="s">
        <v>379</v>
      </c>
    </row>
    <row r="295" spans="2:3" ht="13.5">
      <c r="B295" s="33">
        <f t="shared" si="4"/>
        <v>291</v>
      </c>
      <c r="C295" s="36" t="s">
        <v>380</v>
      </c>
    </row>
    <row r="296" spans="2:3" ht="13.5">
      <c r="B296" s="33">
        <f t="shared" si="4"/>
        <v>292</v>
      </c>
      <c r="C296" s="36" t="s">
        <v>539</v>
      </c>
    </row>
    <row r="297" spans="2:3" ht="13.5">
      <c r="B297" s="33">
        <f t="shared" si="4"/>
        <v>293</v>
      </c>
      <c r="C297" s="36" t="s">
        <v>381</v>
      </c>
    </row>
    <row r="298" spans="2:3" ht="13.5">
      <c r="B298" s="33">
        <f t="shared" si="4"/>
        <v>294</v>
      </c>
      <c r="C298" s="36" t="s">
        <v>382</v>
      </c>
    </row>
    <row r="299" spans="2:3" ht="13.5">
      <c r="B299" s="33">
        <f t="shared" si="4"/>
        <v>295</v>
      </c>
      <c r="C299" s="36" t="s">
        <v>232</v>
      </c>
    </row>
    <row r="300" spans="2:3" ht="13.5">
      <c r="B300" s="33">
        <f t="shared" si="4"/>
        <v>296</v>
      </c>
      <c r="C300" s="36" t="s">
        <v>540</v>
      </c>
    </row>
    <row r="301" spans="2:3" ht="13.5">
      <c r="B301" s="33">
        <f t="shared" si="4"/>
        <v>297</v>
      </c>
      <c r="C301" s="36" t="s">
        <v>541</v>
      </c>
    </row>
    <row r="302" spans="2:3" ht="13.5">
      <c r="B302" s="33">
        <f t="shared" si="4"/>
        <v>298</v>
      </c>
      <c r="C302" s="36" t="s">
        <v>542</v>
      </c>
    </row>
    <row r="303" spans="2:3" ht="13.5">
      <c r="B303" s="33">
        <f t="shared" si="4"/>
        <v>299</v>
      </c>
      <c r="C303" s="36" t="s">
        <v>383</v>
      </c>
    </row>
    <row r="304" spans="2:3" ht="13.5">
      <c r="B304" s="33">
        <f t="shared" si="4"/>
        <v>300</v>
      </c>
      <c r="C304" s="36" t="s">
        <v>233</v>
      </c>
    </row>
    <row r="305" spans="2:3" ht="13.5">
      <c r="B305" s="33">
        <f t="shared" si="4"/>
        <v>301</v>
      </c>
      <c r="C305" s="36" t="s">
        <v>384</v>
      </c>
    </row>
    <row r="306" spans="2:3" ht="13.5">
      <c r="B306" s="33">
        <f t="shared" si="4"/>
        <v>302</v>
      </c>
      <c r="C306" s="36" t="s">
        <v>385</v>
      </c>
    </row>
    <row r="307" spans="2:3" ht="13.5">
      <c r="B307" s="33">
        <f t="shared" si="4"/>
        <v>303</v>
      </c>
      <c r="C307" s="36" t="s">
        <v>86</v>
      </c>
    </row>
    <row r="308" spans="2:3" ht="13.5">
      <c r="B308" s="33">
        <f t="shared" si="4"/>
        <v>304</v>
      </c>
      <c r="C308" s="36" t="s">
        <v>386</v>
      </c>
    </row>
    <row r="309" spans="2:3" ht="13.5">
      <c r="B309" s="33">
        <f t="shared" si="4"/>
        <v>305</v>
      </c>
      <c r="C309" s="36" t="s">
        <v>387</v>
      </c>
    </row>
    <row r="310" spans="2:3" ht="13.5">
      <c r="B310" s="33">
        <f t="shared" si="4"/>
        <v>306</v>
      </c>
      <c r="C310" s="36" t="s">
        <v>543</v>
      </c>
    </row>
    <row r="311" spans="2:3" ht="13.5">
      <c r="B311" s="33">
        <f t="shared" si="4"/>
        <v>307</v>
      </c>
      <c r="C311" s="36" t="s">
        <v>388</v>
      </c>
    </row>
    <row r="312" spans="2:3" ht="13.5">
      <c r="B312" s="33">
        <f t="shared" si="4"/>
        <v>308</v>
      </c>
      <c r="C312" s="36" t="s">
        <v>544</v>
      </c>
    </row>
    <row r="313" spans="2:3" ht="13.5">
      <c r="B313" s="33">
        <f t="shared" si="4"/>
        <v>309</v>
      </c>
      <c r="C313" s="36" t="s">
        <v>106</v>
      </c>
    </row>
    <row r="314" spans="2:3" ht="13.5">
      <c r="B314" s="33">
        <f t="shared" si="4"/>
        <v>310</v>
      </c>
      <c r="C314" s="36" t="s">
        <v>546</v>
      </c>
    </row>
    <row r="315" spans="2:3" ht="13.5">
      <c r="B315" s="33">
        <f t="shared" si="4"/>
        <v>311</v>
      </c>
      <c r="C315" s="36" t="s">
        <v>545</v>
      </c>
    </row>
    <row r="316" spans="2:3" ht="13.5">
      <c r="B316" s="33">
        <f t="shared" si="4"/>
        <v>312</v>
      </c>
      <c r="C316" s="36" t="s">
        <v>547</v>
      </c>
    </row>
    <row r="317" spans="2:3" ht="13.5">
      <c r="B317" s="33">
        <f t="shared" si="4"/>
        <v>313</v>
      </c>
      <c r="C317" s="36" t="s">
        <v>234</v>
      </c>
    </row>
    <row r="318" spans="2:3" ht="13.5">
      <c r="B318" s="33">
        <f t="shared" si="4"/>
        <v>314</v>
      </c>
      <c r="C318" s="36" t="s">
        <v>548</v>
      </c>
    </row>
    <row r="319" spans="2:3" ht="13.5">
      <c r="B319" s="33">
        <f t="shared" si="4"/>
        <v>315</v>
      </c>
      <c r="C319" s="36" t="s">
        <v>235</v>
      </c>
    </row>
    <row r="320" spans="2:3" ht="13.5">
      <c r="B320" s="33">
        <f t="shared" si="4"/>
        <v>316</v>
      </c>
      <c r="C320" s="36" t="s">
        <v>107</v>
      </c>
    </row>
    <row r="321" spans="2:3" ht="13.5">
      <c r="B321" s="33">
        <f t="shared" si="4"/>
        <v>317</v>
      </c>
      <c r="C321" s="36" t="s">
        <v>108</v>
      </c>
    </row>
    <row r="322" spans="2:3" ht="13.5">
      <c r="B322" s="33">
        <f t="shared" si="4"/>
        <v>318</v>
      </c>
      <c r="C322" s="36" t="s">
        <v>549</v>
      </c>
    </row>
    <row r="323" spans="2:3" ht="13.5">
      <c r="B323" s="33">
        <f t="shared" si="4"/>
        <v>319</v>
      </c>
      <c r="C323" s="36" t="s">
        <v>236</v>
      </c>
    </row>
    <row r="324" spans="2:3" ht="13.5">
      <c r="B324" s="33">
        <f t="shared" si="4"/>
        <v>320</v>
      </c>
      <c r="C324" s="36" t="s">
        <v>550</v>
      </c>
    </row>
    <row r="325" spans="2:3" ht="13.5">
      <c r="B325" s="33">
        <f t="shared" si="4"/>
        <v>321</v>
      </c>
      <c r="C325" s="36" t="s">
        <v>551</v>
      </c>
    </row>
    <row r="326" spans="2:3" ht="13.5">
      <c r="B326" s="33">
        <f t="shared" si="4"/>
        <v>322</v>
      </c>
      <c r="C326" s="36" t="s">
        <v>552</v>
      </c>
    </row>
    <row r="327" spans="2:3" ht="13.5">
      <c r="B327" s="33">
        <f aca="true" t="shared" si="5" ref="B327:B390">B326+1</f>
        <v>323</v>
      </c>
      <c r="C327" s="36" t="s">
        <v>553</v>
      </c>
    </row>
    <row r="328" spans="2:3" ht="13.5">
      <c r="B328" s="33">
        <f t="shared" si="5"/>
        <v>324</v>
      </c>
      <c r="C328" s="36" t="s">
        <v>389</v>
      </c>
    </row>
    <row r="329" spans="2:3" ht="13.5">
      <c r="B329" s="33">
        <f t="shared" si="5"/>
        <v>325</v>
      </c>
      <c r="C329" s="36" t="s">
        <v>554</v>
      </c>
    </row>
    <row r="330" spans="2:3" ht="13.5">
      <c r="B330" s="33">
        <f t="shared" si="5"/>
        <v>326</v>
      </c>
      <c r="C330" s="36" t="s">
        <v>555</v>
      </c>
    </row>
    <row r="331" spans="2:3" ht="13.5">
      <c r="B331" s="33">
        <f t="shared" si="5"/>
        <v>327</v>
      </c>
      <c r="C331" s="36" t="s">
        <v>237</v>
      </c>
    </row>
    <row r="332" spans="2:3" ht="13.5">
      <c r="B332" s="33">
        <f t="shared" si="5"/>
        <v>328</v>
      </c>
      <c r="C332" s="36" t="s">
        <v>92</v>
      </c>
    </row>
    <row r="333" spans="2:3" ht="13.5">
      <c r="B333" s="33">
        <f t="shared" si="5"/>
        <v>329</v>
      </c>
      <c r="C333" s="36" t="s">
        <v>238</v>
      </c>
    </row>
    <row r="334" spans="2:3" ht="13.5">
      <c r="B334" s="33">
        <f t="shared" si="5"/>
        <v>330</v>
      </c>
      <c r="C334" s="36" t="s">
        <v>556</v>
      </c>
    </row>
    <row r="335" spans="2:3" ht="13.5">
      <c r="B335" s="33">
        <f t="shared" si="5"/>
        <v>331</v>
      </c>
      <c r="C335" s="36" t="s">
        <v>239</v>
      </c>
    </row>
    <row r="336" spans="2:3" ht="13.5">
      <c r="B336" s="33">
        <f t="shared" si="5"/>
        <v>332</v>
      </c>
      <c r="C336" s="36" t="s">
        <v>557</v>
      </c>
    </row>
    <row r="337" spans="2:3" ht="13.5">
      <c r="B337" s="33">
        <f t="shared" si="5"/>
        <v>333</v>
      </c>
      <c r="C337" s="36" t="s">
        <v>558</v>
      </c>
    </row>
    <row r="338" spans="2:3" ht="13.5">
      <c r="B338" s="33">
        <f t="shared" si="5"/>
        <v>334</v>
      </c>
      <c r="C338" s="36" t="s">
        <v>240</v>
      </c>
    </row>
    <row r="339" spans="2:3" ht="13.5">
      <c r="B339" s="33">
        <f t="shared" si="5"/>
        <v>335</v>
      </c>
      <c r="C339" s="36" t="s">
        <v>241</v>
      </c>
    </row>
    <row r="340" spans="2:3" ht="13.5">
      <c r="B340" s="33">
        <f t="shared" si="5"/>
        <v>336</v>
      </c>
      <c r="C340" s="36" t="s">
        <v>242</v>
      </c>
    </row>
    <row r="341" spans="2:3" ht="13.5">
      <c r="B341" s="33">
        <f t="shared" si="5"/>
        <v>337</v>
      </c>
      <c r="C341" s="36" t="s">
        <v>243</v>
      </c>
    </row>
    <row r="342" spans="2:3" ht="13.5">
      <c r="B342" s="33">
        <f t="shared" si="5"/>
        <v>338</v>
      </c>
      <c r="C342" s="36" t="s">
        <v>244</v>
      </c>
    </row>
    <row r="343" spans="2:3" ht="13.5">
      <c r="B343" s="33">
        <f t="shared" si="5"/>
        <v>339</v>
      </c>
      <c r="C343" s="36" t="s">
        <v>390</v>
      </c>
    </row>
    <row r="344" spans="2:3" ht="13.5">
      <c r="B344" s="33">
        <f t="shared" si="5"/>
        <v>340</v>
      </c>
      <c r="C344" s="36" t="s">
        <v>93</v>
      </c>
    </row>
    <row r="345" spans="2:3" ht="13.5">
      <c r="B345" s="33">
        <f t="shared" si="5"/>
        <v>341</v>
      </c>
      <c r="C345" s="36" t="s">
        <v>559</v>
      </c>
    </row>
    <row r="346" spans="2:3" ht="13.5">
      <c r="B346" s="33">
        <f t="shared" si="5"/>
        <v>342</v>
      </c>
      <c r="C346" s="36" t="s">
        <v>109</v>
      </c>
    </row>
    <row r="347" spans="2:3" ht="13.5">
      <c r="B347" s="33">
        <f t="shared" si="5"/>
        <v>343</v>
      </c>
      <c r="C347" s="36" t="s">
        <v>114</v>
      </c>
    </row>
    <row r="348" spans="2:3" ht="13.5">
      <c r="B348" s="33">
        <f t="shared" si="5"/>
        <v>344</v>
      </c>
      <c r="C348" s="36" t="s">
        <v>560</v>
      </c>
    </row>
    <row r="349" spans="2:3" ht="13.5">
      <c r="B349" s="33">
        <f t="shared" si="5"/>
        <v>345</v>
      </c>
      <c r="C349" s="36" t="s">
        <v>561</v>
      </c>
    </row>
    <row r="350" spans="2:3" ht="13.5">
      <c r="B350" s="33">
        <f t="shared" si="5"/>
        <v>346</v>
      </c>
      <c r="C350" s="36" t="s">
        <v>562</v>
      </c>
    </row>
    <row r="351" spans="2:3" ht="13.5">
      <c r="B351" s="33">
        <f t="shared" si="5"/>
        <v>347</v>
      </c>
      <c r="C351" s="36" t="s">
        <v>245</v>
      </c>
    </row>
    <row r="352" spans="2:3" ht="13.5">
      <c r="B352" s="33">
        <f t="shared" si="5"/>
        <v>348</v>
      </c>
      <c r="C352" s="36" t="s">
        <v>115</v>
      </c>
    </row>
    <row r="353" spans="2:3" ht="13.5">
      <c r="B353" s="33">
        <f t="shared" si="5"/>
        <v>349</v>
      </c>
      <c r="C353" s="36" t="s">
        <v>246</v>
      </c>
    </row>
    <row r="354" spans="2:3" ht="13.5">
      <c r="B354" s="33">
        <f t="shared" si="5"/>
        <v>350</v>
      </c>
      <c r="C354" s="36" t="s">
        <v>391</v>
      </c>
    </row>
    <row r="355" spans="2:3" ht="13.5">
      <c r="B355" s="33">
        <f t="shared" si="5"/>
        <v>351</v>
      </c>
      <c r="C355" s="36" t="s">
        <v>563</v>
      </c>
    </row>
    <row r="356" spans="2:3" ht="13.5">
      <c r="B356" s="33">
        <f t="shared" si="5"/>
        <v>352</v>
      </c>
      <c r="C356" s="36" t="s">
        <v>564</v>
      </c>
    </row>
    <row r="357" spans="2:3" ht="13.5">
      <c r="B357" s="33">
        <f t="shared" si="5"/>
        <v>353</v>
      </c>
      <c r="C357" s="36" t="s">
        <v>119</v>
      </c>
    </row>
    <row r="358" spans="2:3" ht="13.5">
      <c r="B358" s="33">
        <f t="shared" si="5"/>
        <v>354</v>
      </c>
      <c r="C358" s="36" t="s">
        <v>247</v>
      </c>
    </row>
    <row r="359" spans="2:3" ht="13.5">
      <c r="B359" s="33">
        <f t="shared" si="5"/>
        <v>355</v>
      </c>
      <c r="C359" s="36" t="s">
        <v>565</v>
      </c>
    </row>
    <row r="360" spans="2:3" ht="13.5">
      <c r="B360" s="33">
        <f t="shared" si="5"/>
        <v>356</v>
      </c>
      <c r="C360" s="36" t="s">
        <v>248</v>
      </c>
    </row>
    <row r="361" spans="2:3" ht="13.5">
      <c r="B361" s="33">
        <f t="shared" si="5"/>
        <v>357</v>
      </c>
      <c r="C361" s="36" t="s">
        <v>249</v>
      </c>
    </row>
    <row r="362" spans="2:3" ht="13.5">
      <c r="B362" s="33">
        <f t="shared" si="5"/>
        <v>358</v>
      </c>
      <c r="C362" s="36" t="s">
        <v>116</v>
      </c>
    </row>
    <row r="363" spans="2:3" ht="13.5">
      <c r="B363" s="33">
        <f t="shared" si="5"/>
        <v>359</v>
      </c>
      <c r="C363" s="36" t="s">
        <v>110</v>
      </c>
    </row>
    <row r="364" spans="2:3" ht="13.5">
      <c r="B364" s="33">
        <f t="shared" si="5"/>
        <v>360</v>
      </c>
      <c r="C364" s="36" t="s">
        <v>250</v>
      </c>
    </row>
    <row r="365" spans="2:3" ht="13.5">
      <c r="B365" s="33">
        <f t="shared" si="5"/>
        <v>361</v>
      </c>
      <c r="C365" s="36" t="s">
        <v>94</v>
      </c>
    </row>
    <row r="366" spans="2:3" ht="13.5">
      <c r="B366" s="33">
        <f t="shared" si="5"/>
        <v>362</v>
      </c>
      <c r="C366" s="36" t="s">
        <v>566</v>
      </c>
    </row>
    <row r="367" spans="2:3" ht="13.5">
      <c r="B367" s="33">
        <f t="shared" si="5"/>
        <v>363</v>
      </c>
      <c r="C367" s="36" t="s">
        <v>567</v>
      </c>
    </row>
    <row r="368" spans="2:3" ht="13.5">
      <c r="B368" s="33">
        <f t="shared" si="5"/>
        <v>364</v>
      </c>
      <c r="C368" s="36" t="s">
        <v>251</v>
      </c>
    </row>
    <row r="369" spans="2:3" ht="13.5">
      <c r="B369" s="33">
        <f t="shared" si="5"/>
        <v>365</v>
      </c>
      <c r="C369" s="36" t="s">
        <v>252</v>
      </c>
    </row>
    <row r="370" spans="2:3" ht="13.5">
      <c r="B370" s="33">
        <f t="shared" si="5"/>
        <v>366</v>
      </c>
      <c r="C370" s="36" t="s">
        <v>253</v>
      </c>
    </row>
    <row r="371" spans="2:3" ht="13.5">
      <c r="B371" s="33">
        <f t="shared" si="5"/>
        <v>367</v>
      </c>
      <c r="C371" s="36" t="s">
        <v>254</v>
      </c>
    </row>
    <row r="372" spans="2:3" ht="13.5">
      <c r="B372" s="33">
        <f t="shared" si="5"/>
        <v>368</v>
      </c>
      <c r="C372" s="36" t="s">
        <v>255</v>
      </c>
    </row>
    <row r="373" spans="2:3" ht="13.5">
      <c r="B373" s="33">
        <f t="shared" si="5"/>
        <v>369</v>
      </c>
      <c r="C373" s="36" t="s">
        <v>120</v>
      </c>
    </row>
    <row r="374" spans="2:3" ht="13.5">
      <c r="B374" s="33">
        <f t="shared" si="5"/>
        <v>370</v>
      </c>
      <c r="C374" s="36" t="s">
        <v>95</v>
      </c>
    </row>
    <row r="375" spans="2:3" ht="13.5">
      <c r="B375" s="33">
        <f t="shared" si="5"/>
        <v>371</v>
      </c>
      <c r="C375" s="36" t="s">
        <v>568</v>
      </c>
    </row>
    <row r="376" spans="2:3" ht="13.5">
      <c r="B376" s="33">
        <f t="shared" si="5"/>
        <v>372</v>
      </c>
      <c r="C376" s="36" t="s">
        <v>256</v>
      </c>
    </row>
    <row r="377" spans="2:3" ht="13.5">
      <c r="B377" s="33">
        <f t="shared" si="5"/>
        <v>373</v>
      </c>
      <c r="C377" s="36" t="s">
        <v>257</v>
      </c>
    </row>
    <row r="378" spans="2:3" ht="13.5">
      <c r="B378" s="33">
        <f t="shared" si="5"/>
        <v>374</v>
      </c>
      <c r="C378" s="36" t="s">
        <v>258</v>
      </c>
    </row>
    <row r="379" spans="2:3" ht="13.5">
      <c r="B379" s="33">
        <f t="shared" si="5"/>
        <v>375</v>
      </c>
      <c r="C379" s="36" t="s">
        <v>259</v>
      </c>
    </row>
    <row r="380" spans="2:3" ht="13.5">
      <c r="B380" s="33">
        <f t="shared" si="5"/>
        <v>376</v>
      </c>
      <c r="C380" s="36" t="s">
        <v>96</v>
      </c>
    </row>
    <row r="381" spans="2:3" ht="13.5">
      <c r="B381" s="33">
        <f t="shared" si="5"/>
        <v>377</v>
      </c>
      <c r="C381" s="36" t="s">
        <v>260</v>
      </c>
    </row>
    <row r="382" spans="2:3" ht="13.5">
      <c r="B382" s="33">
        <f t="shared" si="5"/>
        <v>378</v>
      </c>
      <c r="C382" s="36" t="s">
        <v>570</v>
      </c>
    </row>
    <row r="383" spans="2:3" ht="13.5">
      <c r="B383" s="33">
        <f t="shared" si="5"/>
        <v>379</v>
      </c>
      <c r="C383" s="36" t="s">
        <v>392</v>
      </c>
    </row>
    <row r="384" spans="2:3" ht="13.5">
      <c r="B384" s="33">
        <f t="shared" si="5"/>
        <v>380</v>
      </c>
      <c r="C384" s="36" t="s">
        <v>569</v>
      </c>
    </row>
    <row r="385" spans="2:3" ht="13.5">
      <c r="B385" s="33">
        <f t="shared" si="5"/>
        <v>381</v>
      </c>
      <c r="C385" s="36" t="s">
        <v>261</v>
      </c>
    </row>
    <row r="386" spans="2:3" ht="13.5">
      <c r="B386" s="33">
        <f t="shared" si="5"/>
        <v>382</v>
      </c>
      <c r="C386" s="36" t="s">
        <v>111</v>
      </c>
    </row>
    <row r="387" spans="2:3" ht="13.5">
      <c r="B387" s="33">
        <f t="shared" si="5"/>
        <v>383</v>
      </c>
      <c r="C387" s="36" t="s">
        <v>571</v>
      </c>
    </row>
    <row r="388" spans="2:3" ht="13.5">
      <c r="B388" s="33">
        <f t="shared" si="5"/>
        <v>384</v>
      </c>
      <c r="C388" s="36" t="s">
        <v>393</v>
      </c>
    </row>
    <row r="389" spans="2:3" ht="13.5">
      <c r="B389" s="33">
        <f t="shared" si="5"/>
        <v>385</v>
      </c>
      <c r="C389" s="36" t="s">
        <v>572</v>
      </c>
    </row>
    <row r="390" spans="2:3" ht="13.5">
      <c r="B390" s="33">
        <f t="shared" si="5"/>
        <v>386</v>
      </c>
      <c r="C390" s="36" t="s">
        <v>394</v>
      </c>
    </row>
    <row r="391" spans="2:3" ht="13.5">
      <c r="B391" s="33">
        <f aca="true" t="shared" si="6" ref="B391:B454">B390+1</f>
        <v>387</v>
      </c>
      <c r="C391" s="36" t="s">
        <v>121</v>
      </c>
    </row>
    <row r="392" spans="2:3" ht="13.5">
      <c r="B392" s="33">
        <f t="shared" si="6"/>
        <v>388</v>
      </c>
      <c r="C392" s="36" t="s">
        <v>262</v>
      </c>
    </row>
    <row r="393" spans="2:3" ht="13.5">
      <c r="B393" s="33">
        <f t="shared" si="6"/>
        <v>389</v>
      </c>
      <c r="C393" s="36" t="s">
        <v>573</v>
      </c>
    </row>
    <row r="394" spans="2:3" ht="13.5">
      <c r="B394" s="33">
        <f t="shared" si="6"/>
        <v>390</v>
      </c>
      <c r="C394" s="36" t="s">
        <v>574</v>
      </c>
    </row>
    <row r="395" spans="2:3" ht="13.5">
      <c r="B395" s="33">
        <f t="shared" si="6"/>
        <v>391</v>
      </c>
      <c r="C395" s="36" t="s">
        <v>263</v>
      </c>
    </row>
    <row r="396" spans="2:3" ht="13.5">
      <c r="B396" s="33">
        <f t="shared" si="6"/>
        <v>392</v>
      </c>
      <c r="C396" s="36" t="s">
        <v>575</v>
      </c>
    </row>
    <row r="397" spans="2:3" ht="13.5">
      <c r="B397" s="33">
        <f t="shared" si="6"/>
        <v>393</v>
      </c>
      <c r="C397" s="36" t="s">
        <v>576</v>
      </c>
    </row>
    <row r="398" spans="2:3" ht="13.5">
      <c r="B398" s="33">
        <f t="shared" si="6"/>
        <v>394</v>
      </c>
      <c r="C398" s="36" t="s">
        <v>264</v>
      </c>
    </row>
    <row r="399" spans="2:3" ht="13.5">
      <c r="B399" s="33">
        <f t="shared" si="6"/>
        <v>395</v>
      </c>
      <c r="C399" s="36" t="s">
        <v>577</v>
      </c>
    </row>
    <row r="400" spans="2:3" ht="13.5">
      <c r="B400" s="33">
        <f t="shared" si="6"/>
        <v>396</v>
      </c>
      <c r="C400" s="36" t="s">
        <v>578</v>
      </c>
    </row>
    <row r="401" spans="2:3" ht="13.5">
      <c r="B401" s="33">
        <f t="shared" si="6"/>
        <v>397</v>
      </c>
      <c r="C401" s="36" t="s">
        <v>579</v>
      </c>
    </row>
    <row r="402" spans="2:3" ht="13.5">
      <c r="B402" s="33">
        <f t="shared" si="6"/>
        <v>398</v>
      </c>
      <c r="C402" s="36" t="s">
        <v>265</v>
      </c>
    </row>
    <row r="403" spans="2:3" ht="13.5">
      <c r="B403" s="33">
        <f t="shared" si="6"/>
        <v>399</v>
      </c>
      <c r="C403" s="36" t="s">
        <v>112</v>
      </c>
    </row>
    <row r="404" spans="2:3" ht="13.5">
      <c r="B404" s="33">
        <f t="shared" si="6"/>
        <v>400</v>
      </c>
      <c r="C404" s="36" t="s">
        <v>580</v>
      </c>
    </row>
    <row r="405" spans="2:3" ht="13.5">
      <c r="B405" s="33">
        <f t="shared" si="6"/>
        <v>401</v>
      </c>
      <c r="C405" s="36" t="s">
        <v>266</v>
      </c>
    </row>
    <row r="406" spans="2:3" ht="13.5">
      <c r="B406" s="33">
        <f t="shared" si="6"/>
        <v>402</v>
      </c>
      <c r="C406" s="36" t="s">
        <v>267</v>
      </c>
    </row>
    <row r="407" spans="2:3" ht="13.5">
      <c r="B407" s="33">
        <f t="shared" si="6"/>
        <v>403</v>
      </c>
      <c r="C407" s="36" t="s">
        <v>268</v>
      </c>
    </row>
    <row r="408" spans="2:3" ht="13.5">
      <c r="B408" s="33">
        <f t="shared" si="6"/>
        <v>404</v>
      </c>
      <c r="C408" s="36" t="s">
        <v>581</v>
      </c>
    </row>
    <row r="409" spans="2:3" ht="13.5">
      <c r="B409" s="33">
        <f t="shared" si="6"/>
        <v>405</v>
      </c>
      <c r="C409" s="36" t="s">
        <v>269</v>
      </c>
    </row>
    <row r="410" spans="2:3" ht="13.5">
      <c r="B410" s="33">
        <f t="shared" si="6"/>
        <v>406</v>
      </c>
      <c r="C410" s="36" t="s">
        <v>395</v>
      </c>
    </row>
    <row r="411" spans="2:3" ht="13.5">
      <c r="B411" s="33">
        <f t="shared" si="6"/>
        <v>407</v>
      </c>
      <c r="C411" s="36" t="s">
        <v>270</v>
      </c>
    </row>
    <row r="412" spans="2:3" ht="13.5">
      <c r="B412" s="33">
        <f t="shared" si="6"/>
        <v>408</v>
      </c>
      <c r="C412" s="36" t="s">
        <v>271</v>
      </c>
    </row>
    <row r="413" spans="2:3" ht="13.5">
      <c r="B413" s="33">
        <f t="shared" si="6"/>
        <v>409</v>
      </c>
      <c r="C413" s="36" t="s">
        <v>582</v>
      </c>
    </row>
    <row r="414" spans="2:3" ht="13.5">
      <c r="B414" s="33">
        <f t="shared" si="6"/>
        <v>410</v>
      </c>
      <c r="C414" s="36" t="s">
        <v>272</v>
      </c>
    </row>
    <row r="415" spans="2:3" ht="13.5">
      <c r="B415" s="33">
        <f t="shared" si="6"/>
        <v>411</v>
      </c>
      <c r="C415" s="36" t="s">
        <v>583</v>
      </c>
    </row>
    <row r="416" spans="2:3" ht="13.5">
      <c r="B416" s="33">
        <f t="shared" si="6"/>
        <v>412</v>
      </c>
      <c r="C416" s="36" t="s">
        <v>273</v>
      </c>
    </row>
    <row r="417" spans="2:3" ht="13.5">
      <c r="B417" s="33">
        <f t="shared" si="6"/>
        <v>413</v>
      </c>
      <c r="C417" s="36" t="s">
        <v>276</v>
      </c>
    </row>
    <row r="418" spans="2:3" ht="13.5">
      <c r="B418" s="33">
        <f t="shared" si="6"/>
        <v>414</v>
      </c>
      <c r="C418" s="36" t="s">
        <v>396</v>
      </c>
    </row>
    <row r="419" spans="2:3" ht="13.5">
      <c r="B419" s="33">
        <f t="shared" si="6"/>
        <v>415</v>
      </c>
      <c r="C419" s="36" t="s">
        <v>117</v>
      </c>
    </row>
    <row r="420" spans="2:3" ht="13.5">
      <c r="B420" s="33">
        <f t="shared" si="6"/>
        <v>416</v>
      </c>
      <c r="C420" s="36" t="s">
        <v>397</v>
      </c>
    </row>
    <row r="421" spans="2:3" ht="13.5">
      <c r="B421" s="33">
        <f t="shared" si="6"/>
        <v>417</v>
      </c>
      <c r="C421" s="36" t="s">
        <v>584</v>
      </c>
    </row>
    <row r="422" spans="2:3" ht="13.5">
      <c r="B422" s="33">
        <f t="shared" si="6"/>
        <v>418</v>
      </c>
      <c r="C422" s="36" t="s">
        <v>398</v>
      </c>
    </row>
    <row r="423" spans="2:3" ht="13.5">
      <c r="B423" s="33">
        <f t="shared" si="6"/>
        <v>419</v>
      </c>
      <c r="C423" s="36" t="s">
        <v>585</v>
      </c>
    </row>
    <row r="424" spans="2:3" ht="13.5">
      <c r="B424" s="33">
        <f t="shared" si="6"/>
        <v>420</v>
      </c>
      <c r="C424" s="36" t="s">
        <v>118</v>
      </c>
    </row>
    <row r="425" spans="2:3" ht="13.5">
      <c r="B425" s="33">
        <f t="shared" si="6"/>
        <v>421</v>
      </c>
      <c r="C425" s="36" t="s">
        <v>586</v>
      </c>
    </row>
    <row r="426" spans="2:3" ht="13.5">
      <c r="B426" s="33">
        <f t="shared" si="6"/>
        <v>422</v>
      </c>
      <c r="C426" s="36" t="s">
        <v>277</v>
      </c>
    </row>
    <row r="427" spans="2:3" ht="13.5">
      <c r="B427" s="33">
        <f t="shared" si="6"/>
        <v>423</v>
      </c>
      <c r="C427" s="36" t="s">
        <v>587</v>
      </c>
    </row>
    <row r="428" spans="2:3" ht="13.5">
      <c r="B428" s="33">
        <f t="shared" si="6"/>
        <v>424</v>
      </c>
      <c r="C428" s="36" t="s">
        <v>588</v>
      </c>
    </row>
    <row r="429" spans="2:3" ht="13.5">
      <c r="B429" s="33">
        <f t="shared" si="6"/>
        <v>425</v>
      </c>
      <c r="C429" s="36" t="s">
        <v>278</v>
      </c>
    </row>
    <row r="430" spans="2:3" ht="13.5">
      <c r="B430" s="33">
        <f t="shared" si="6"/>
        <v>426</v>
      </c>
      <c r="C430" s="36" t="s">
        <v>122</v>
      </c>
    </row>
    <row r="431" spans="2:3" ht="13.5">
      <c r="B431" s="33">
        <f t="shared" si="6"/>
        <v>427</v>
      </c>
      <c r="C431" s="36" t="s">
        <v>279</v>
      </c>
    </row>
    <row r="432" spans="2:3" ht="13.5">
      <c r="B432" s="33">
        <f t="shared" si="6"/>
        <v>428</v>
      </c>
      <c r="C432" s="36" t="s">
        <v>589</v>
      </c>
    </row>
    <row r="433" spans="2:3" ht="13.5">
      <c r="B433" s="33">
        <f t="shared" si="6"/>
        <v>429</v>
      </c>
      <c r="C433" s="36" t="s">
        <v>590</v>
      </c>
    </row>
    <row r="434" spans="2:3" ht="13.5">
      <c r="B434" s="33">
        <f t="shared" si="6"/>
        <v>430</v>
      </c>
      <c r="C434" s="36" t="s">
        <v>399</v>
      </c>
    </row>
    <row r="435" spans="2:3" ht="13.5">
      <c r="B435" s="33">
        <f t="shared" si="6"/>
        <v>431</v>
      </c>
      <c r="C435" s="36" t="s">
        <v>280</v>
      </c>
    </row>
    <row r="436" spans="2:3" ht="13.5">
      <c r="B436" s="33">
        <f t="shared" si="6"/>
        <v>432</v>
      </c>
      <c r="C436" s="36" t="s">
        <v>281</v>
      </c>
    </row>
    <row r="437" spans="2:3" ht="13.5">
      <c r="B437" s="33">
        <f t="shared" si="6"/>
        <v>433</v>
      </c>
      <c r="C437" s="36" t="s">
        <v>400</v>
      </c>
    </row>
    <row r="438" spans="2:3" ht="13.5">
      <c r="B438" s="33">
        <f t="shared" si="6"/>
        <v>434</v>
      </c>
      <c r="C438" s="36" t="s">
        <v>282</v>
      </c>
    </row>
    <row r="439" spans="2:3" ht="13.5">
      <c r="B439" s="33">
        <f t="shared" si="6"/>
        <v>435</v>
      </c>
      <c r="C439" s="36" t="s">
        <v>283</v>
      </c>
    </row>
    <row r="440" spans="2:3" ht="13.5">
      <c r="B440" s="33">
        <f t="shared" si="6"/>
        <v>436</v>
      </c>
      <c r="C440" s="36" t="s">
        <v>284</v>
      </c>
    </row>
    <row r="441" spans="2:3" ht="13.5">
      <c r="B441" s="33">
        <f t="shared" si="6"/>
        <v>437</v>
      </c>
      <c r="C441" s="36" t="s">
        <v>591</v>
      </c>
    </row>
    <row r="442" spans="2:3" ht="13.5">
      <c r="B442" s="33">
        <f t="shared" si="6"/>
        <v>438</v>
      </c>
      <c r="C442" s="36" t="s">
        <v>401</v>
      </c>
    </row>
    <row r="443" spans="2:3" ht="13.5">
      <c r="B443" s="33">
        <f t="shared" si="6"/>
        <v>439</v>
      </c>
      <c r="C443" s="36" t="s">
        <v>285</v>
      </c>
    </row>
    <row r="444" spans="2:3" ht="13.5">
      <c r="B444" s="33">
        <f t="shared" si="6"/>
        <v>440</v>
      </c>
      <c r="C444" s="36" t="s">
        <v>286</v>
      </c>
    </row>
    <row r="445" spans="2:3" ht="13.5">
      <c r="B445" s="33">
        <f t="shared" si="6"/>
        <v>441</v>
      </c>
      <c r="C445" s="36" t="s">
        <v>287</v>
      </c>
    </row>
    <row r="446" spans="2:3" ht="13.5">
      <c r="B446" s="33">
        <f t="shared" si="6"/>
        <v>442</v>
      </c>
      <c r="C446" s="36" t="s">
        <v>592</v>
      </c>
    </row>
    <row r="447" spans="2:3" ht="13.5">
      <c r="B447" s="33">
        <f t="shared" si="6"/>
        <v>443</v>
      </c>
      <c r="C447" s="36" t="s">
        <v>288</v>
      </c>
    </row>
    <row r="448" spans="2:3" ht="13.5">
      <c r="B448" s="33">
        <f t="shared" si="6"/>
        <v>444</v>
      </c>
      <c r="C448" s="36" t="s">
        <v>289</v>
      </c>
    </row>
    <row r="449" spans="2:3" ht="13.5">
      <c r="B449" s="33">
        <f t="shared" si="6"/>
        <v>445</v>
      </c>
      <c r="C449" s="36" t="s">
        <v>290</v>
      </c>
    </row>
    <row r="450" spans="2:3" ht="13.5">
      <c r="B450" s="33">
        <f t="shared" si="6"/>
        <v>446</v>
      </c>
      <c r="C450" s="36" t="s">
        <v>291</v>
      </c>
    </row>
    <row r="451" spans="2:3" ht="13.5">
      <c r="B451" s="33">
        <f t="shared" si="6"/>
        <v>447</v>
      </c>
      <c r="C451" s="36" t="s">
        <v>593</v>
      </c>
    </row>
    <row r="452" spans="2:3" ht="13.5">
      <c r="B452" s="33">
        <f t="shared" si="6"/>
        <v>448</v>
      </c>
      <c r="C452" s="36" t="s">
        <v>594</v>
      </c>
    </row>
    <row r="453" spans="2:3" ht="13.5">
      <c r="B453" s="33">
        <f t="shared" si="6"/>
        <v>449</v>
      </c>
      <c r="C453" s="36" t="s">
        <v>595</v>
      </c>
    </row>
    <row r="454" spans="2:3" ht="13.5">
      <c r="B454" s="33">
        <f t="shared" si="6"/>
        <v>450</v>
      </c>
      <c r="C454" s="36" t="s">
        <v>596</v>
      </c>
    </row>
    <row r="455" spans="2:3" ht="13.5">
      <c r="B455" s="33">
        <f aca="true" t="shared" si="7" ref="B455:B518">B454+1</f>
        <v>451</v>
      </c>
      <c r="C455" s="36" t="s">
        <v>597</v>
      </c>
    </row>
    <row r="456" spans="2:3" ht="13.5">
      <c r="B456" s="33">
        <f t="shared" si="7"/>
        <v>452</v>
      </c>
      <c r="C456" s="36" t="s">
        <v>598</v>
      </c>
    </row>
    <row r="457" spans="2:3" ht="13.5">
      <c r="B457" s="33">
        <f t="shared" si="7"/>
        <v>453</v>
      </c>
      <c r="C457" s="36" t="s">
        <v>292</v>
      </c>
    </row>
    <row r="458" spans="2:3" ht="13.5">
      <c r="B458" s="33">
        <f t="shared" si="7"/>
        <v>454</v>
      </c>
      <c r="C458" s="36" t="s">
        <v>402</v>
      </c>
    </row>
    <row r="459" spans="2:3" ht="13.5">
      <c r="B459" s="33">
        <f t="shared" si="7"/>
        <v>455</v>
      </c>
      <c r="C459" s="36" t="s">
        <v>599</v>
      </c>
    </row>
    <row r="460" spans="2:3" ht="13.5">
      <c r="B460" s="33">
        <f t="shared" si="7"/>
        <v>456</v>
      </c>
      <c r="C460" s="36" t="s">
        <v>293</v>
      </c>
    </row>
    <row r="461" spans="2:3" ht="13.5">
      <c r="B461" s="33">
        <f t="shared" si="7"/>
        <v>457</v>
      </c>
      <c r="C461" s="36" t="s">
        <v>600</v>
      </c>
    </row>
    <row r="462" spans="2:3" ht="13.5">
      <c r="B462" s="33">
        <f t="shared" si="7"/>
        <v>458</v>
      </c>
      <c r="C462" s="36" t="s">
        <v>601</v>
      </c>
    </row>
    <row r="463" spans="2:3" ht="13.5">
      <c r="B463" s="33">
        <f t="shared" si="7"/>
        <v>459</v>
      </c>
      <c r="C463" s="36" t="s">
        <v>602</v>
      </c>
    </row>
    <row r="464" spans="2:3" ht="13.5">
      <c r="B464" s="33">
        <f t="shared" si="7"/>
        <v>460</v>
      </c>
      <c r="C464" s="36" t="s">
        <v>403</v>
      </c>
    </row>
    <row r="465" spans="2:3" ht="13.5">
      <c r="B465" s="33">
        <f t="shared" si="7"/>
        <v>461</v>
      </c>
      <c r="C465" s="36" t="s">
        <v>603</v>
      </c>
    </row>
    <row r="466" spans="2:3" ht="13.5">
      <c r="B466" s="33">
        <f t="shared" si="7"/>
        <v>462</v>
      </c>
      <c r="C466" s="36" t="s">
        <v>604</v>
      </c>
    </row>
    <row r="467" spans="2:3" ht="13.5">
      <c r="B467" s="33">
        <f t="shared" si="7"/>
        <v>463</v>
      </c>
      <c r="C467" s="36" t="s">
        <v>605</v>
      </c>
    </row>
    <row r="468" spans="2:3" ht="13.5">
      <c r="B468" s="33">
        <f t="shared" si="7"/>
        <v>464</v>
      </c>
      <c r="C468" s="36" t="s">
        <v>404</v>
      </c>
    </row>
    <row r="469" spans="2:3" ht="13.5">
      <c r="B469" s="33">
        <f t="shared" si="7"/>
        <v>465</v>
      </c>
      <c r="C469" s="36" t="s">
        <v>606</v>
      </c>
    </row>
    <row r="470" spans="2:3" ht="13.5">
      <c r="B470" s="33">
        <f t="shared" si="7"/>
        <v>466</v>
      </c>
      <c r="C470" s="36" t="s">
        <v>294</v>
      </c>
    </row>
    <row r="471" spans="2:3" ht="13.5">
      <c r="B471" s="33">
        <f t="shared" si="7"/>
        <v>467</v>
      </c>
      <c r="C471" s="36" t="s">
        <v>295</v>
      </c>
    </row>
    <row r="472" spans="2:3" ht="13.5">
      <c r="B472" s="33">
        <f t="shared" si="7"/>
        <v>468</v>
      </c>
      <c r="C472" s="36" t="s">
        <v>607</v>
      </c>
    </row>
    <row r="473" spans="2:3" ht="13.5">
      <c r="B473" s="33">
        <f t="shared" si="7"/>
        <v>469</v>
      </c>
      <c r="C473" s="36" t="s">
        <v>608</v>
      </c>
    </row>
    <row r="474" spans="2:3" ht="13.5">
      <c r="B474" s="33">
        <f t="shared" si="7"/>
        <v>470</v>
      </c>
      <c r="C474" s="36" t="s">
        <v>296</v>
      </c>
    </row>
    <row r="475" spans="2:3" ht="13.5">
      <c r="B475" s="33">
        <f t="shared" si="7"/>
        <v>471</v>
      </c>
      <c r="C475" s="36" t="s">
        <v>297</v>
      </c>
    </row>
    <row r="476" spans="2:3" ht="13.5">
      <c r="B476" s="33">
        <f t="shared" si="7"/>
        <v>472</v>
      </c>
      <c r="C476" s="36" t="s">
        <v>123</v>
      </c>
    </row>
    <row r="477" spans="2:3" ht="13.5">
      <c r="B477" s="33">
        <f t="shared" si="7"/>
        <v>473</v>
      </c>
      <c r="C477" s="36" t="s">
        <v>609</v>
      </c>
    </row>
    <row r="478" spans="2:3" ht="13.5">
      <c r="B478" s="33">
        <f t="shared" si="7"/>
        <v>474</v>
      </c>
      <c r="C478" s="36" t="s">
        <v>405</v>
      </c>
    </row>
    <row r="479" spans="2:3" ht="13.5">
      <c r="B479" s="33">
        <f t="shared" si="7"/>
        <v>475</v>
      </c>
      <c r="C479" s="36" t="s">
        <v>298</v>
      </c>
    </row>
    <row r="480" spans="2:3" ht="13.5">
      <c r="B480" s="33">
        <f t="shared" si="7"/>
        <v>476</v>
      </c>
      <c r="C480" s="36" t="s">
        <v>610</v>
      </c>
    </row>
    <row r="481" spans="2:3" ht="13.5">
      <c r="B481" s="33">
        <f t="shared" si="7"/>
        <v>477</v>
      </c>
      <c r="C481" s="36" t="s">
        <v>611</v>
      </c>
    </row>
    <row r="482" spans="2:3" ht="13.5">
      <c r="B482" s="33">
        <f t="shared" si="7"/>
        <v>478</v>
      </c>
      <c r="C482" s="36" t="s">
        <v>299</v>
      </c>
    </row>
    <row r="483" spans="2:3" ht="13.5">
      <c r="B483" s="33">
        <f t="shared" si="7"/>
        <v>479</v>
      </c>
      <c r="C483" s="36" t="s">
        <v>300</v>
      </c>
    </row>
    <row r="484" spans="2:3" ht="13.5">
      <c r="B484" s="33">
        <f t="shared" si="7"/>
        <v>480</v>
      </c>
      <c r="C484" s="36" t="s">
        <v>113</v>
      </c>
    </row>
    <row r="485" spans="2:3" ht="13.5">
      <c r="B485" s="33">
        <f t="shared" si="7"/>
        <v>481</v>
      </c>
      <c r="C485" s="36" t="s">
        <v>612</v>
      </c>
    </row>
    <row r="486" spans="2:3" ht="13.5">
      <c r="B486" s="33">
        <f t="shared" si="7"/>
        <v>482</v>
      </c>
      <c r="C486" s="36" t="s">
        <v>613</v>
      </c>
    </row>
    <row r="487" spans="2:3" ht="13.5">
      <c r="B487" s="33">
        <f t="shared" si="7"/>
        <v>483</v>
      </c>
      <c r="C487" s="36" t="s">
        <v>301</v>
      </c>
    </row>
    <row r="488" spans="2:3" ht="13.5">
      <c r="B488" s="33">
        <f t="shared" si="7"/>
        <v>484</v>
      </c>
      <c r="C488" s="36" t="s">
        <v>614</v>
      </c>
    </row>
    <row r="489" spans="2:3" ht="13.5">
      <c r="B489" s="33">
        <f t="shared" si="7"/>
        <v>485</v>
      </c>
      <c r="C489" s="36" t="s">
        <v>615</v>
      </c>
    </row>
    <row r="490" spans="2:3" ht="13.5">
      <c r="B490" s="33">
        <f t="shared" si="7"/>
        <v>486</v>
      </c>
      <c r="C490" s="36" t="s">
        <v>616</v>
      </c>
    </row>
    <row r="491" spans="2:3" ht="13.5">
      <c r="B491" s="33">
        <f t="shared" si="7"/>
        <v>487</v>
      </c>
      <c r="C491" s="36" t="s">
        <v>617</v>
      </c>
    </row>
    <row r="492" spans="2:3" ht="13.5">
      <c r="B492" s="33">
        <f t="shared" si="7"/>
        <v>488</v>
      </c>
      <c r="C492" s="36" t="s">
        <v>302</v>
      </c>
    </row>
    <row r="493" spans="2:3" ht="13.5">
      <c r="B493" s="33">
        <f t="shared" si="7"/>
        <v>489</v>
      </c>
      <c r="C493" s="36" t="s">
        <v>618</v>
      </c>
    </row>
    <row r="494" spans="2:3" ht="13.5">
      <c r="B494" s="33">
        <f t="shared" si="7"/>
        <v>490</v>
      </c>
      <c r="C494" s="36" t="s">
        <v>619</v>
      </c>
    </row>
    <row r="495" spans="2:3" ht="13.5">
      <c r="B495" s="33">
        <f t="shared" si="7"/>
        <v>491</v>
      </c>
      <c r="C495" s="36" t="s">
        <v>303</v>
      </c>
    </row>
    <row r="496" spans="2:3" ht="13.5">
      <c r="B496" s="33">
        <f t="shared" si="7"/>
        <v>492</v>
      </c>
      <c r="C496" s="36" t="s">
        <v>620</v>
      </c>
    </row>
    <row r="497" spans="2:3" ht="13.5">
      <c r="B497" s="33">
        <f t="shared" si="7"/>
        <v>493</v>
      </c>
      <c r="C497" s="36" t="s">
        <v>304</v>
      </c>
    </row>
    <row r="498" spans="2:3" ht="13.5">
      <c r="B498" s="33">
        <f t="shared" si="7"/>
        <v>494</v>
      </c>
      <c r="C498" s="36" t="s">
        <v>305</v>
      </c>
    </row>
    <row r="499" spans="2:3" ht="13.5">
      <c r="B499" s="33">
        <f t="shared" si="7"/>
        <v>495</v>
      </c>
      <c r="C499" s="36" t="s">
        <v>621</v>
      </c>
    </row>
    <row r="500" spans="2:3" ht="13.5">
      <c r="B500" s="33">
        <f t="shared" si="7"/>
        <v>496</v>
      </c>
      <c r="C500" s="36" t="s">
        <v>622</v>
      </c>
    </row>
    <row r="501" spans="2:3" ht="13.5">
      <c r="B501" s="33">
        <f t="shared" si="7"/>
        <v>497</v>
      </c>
      <c r="C501" s="36" t="s">
        <v>623</v>
      </c>
    </row>
    <row r="502" spans="2:3" ht="13.5">
      <c r="B502" s="33">
        <f t="shared" si="7"/>
        <v>498</v>
      </c>
      <c r="C502" s="36" t="s">
        <v>624</v>
      </c>
    </row>
    <row r="503" spans="2:3" ht="13.5">
      <c r="B503" s="33">
        <f t="shared" si="7"/>
        <v>499</v>
      </c>
      <c r="C503" s="36" t="s">
        <v>625</v>
      </c>
    </row>
    <row r="504" spans="2:3" ht="13.5">
      <c r="B504" s="33">
        <f t="shared" si="7"/>
        <v>500</v>
      </c>
      <c r="C504" s="36" t="s">
        <v>626</v>
      </c>
    </row>
    <row r="505" spans="2:3" ht="13.5">
      <c r="B505" s="33">
        <f>B504+1</f>
        <v>501</v>
      </c>
      <c r="C505" s="36" t="s">
        <v>406</v>
      </c>
    </row>
    <row r="506" spans="2:3" ht="13.5">
      <c r="B506" s="33">
        <f t="shared" si="7"/>
        <v>502</v>
      </c>
      <c r="C506" s="36" t="s">
        <v>684</v>
      </c>
    </row>
    <row r="507" spans="2:3" ht="13.5">
      <c r="B507" s="33">
        <f t="shared" si="7"/>
        <v>503</v>
      </c>
      <c r="C507" s="36" t="s">
        <v>627</v>
      </c>
    </row>
    <row r="508" spans="2:3" ht="13.5">
      <c r="B508" s="33">
        <f t="shared" si="7"/>
        <v>504</v>
      </c>
      <c r="C508" s="36" t="s">
        <v>628</v>
      </c>
    </row>
    <row r="509" spans="2:3" ht="13.5">
      <c r="B509" s="33">
        <f t="shared" si="7"/>
        <v>505</v>
      </c>
      <c r="C509" s="36" t="s">
        <v>629</v>
      </c>
    </row>
    <row r="510" spans="2:3" ht="13.5">
      <c r="B510" s="33">
        <f t="shared" si="7"/>
        <v>506</v>
      </c>
      <c r="C510" s="36" t="s">
        <v>630</v>
      </c>
    </row>
    <row r="511" spans="2:3" ht="13.5">
      <c r="B511" s="33">
        <f t="shared" si="7"/>
        <v>507</v>
      </c>
      <c r="C511" s="36" t="s">
        <v>306</v>
      </c>
    </row>
    <row r="512" spans="2:3" ht="13.5">
      <c r="B512" s="33">
        <f t="shared" si="7"/>
        <v>508</v>
      </c>
      <c r="C512" s="36" t="s">
        <v>307</v>
      </c>
    </row>
    <row r="513" spans="2:3" ht="13.5">
      <c r="B513" s="33">
        <f t="shared" si="7"/>
        <v>509</v>
      </c>
      <c r="C513" s="36" t="s">
        <v>631</v>
      </c>
    </row>
    <row r="514" spans="2:3" ht="13.5">
      <c r="B514" s="33">
        <f t="shared" si="7"/>
        <v>510</v>
      </c>
      <c r="C514" s="36" t="s">
        <v>632</v>
      </c>
    </row>
    <row r="515" spans="2:3" ht="13.5">
      <c r="B515" s="33">
        <f t="shared" si="7"/>
        <v>511</v>
      </c>
      <c r="C515" s="36" t="s">
        <v>308</v>
      </c>
    </row>
    <row r="516" spans="2:3" ht="13.5">
      <c r="B516" s="33">
        <f t="shared" si="7"/>
        <v>512</v>
      </c>
      <c r="C516" s="37" t="s">
        <v>682</v>
      </c>
    </row>
    <row r="517" spans="2:3" ht="13.5">
      <c r="B517" s="33">
        <f t="shared" si="7"/>
        <v>513</v>
      </c>
      <c r="C517" s="36" t="s">
        <v>633</v>
      </c>
    </row>
    <row r="518" spans="2:3" ht="13.5">
      <c r="B518" s="33">
        <f t="shared" si="7"/>
        <v>514</v>
      </c>
      <c r="C518" s="36" t="s">
        <v>309</v>
      </c>
    </row>
    <row r="519" spans="2:3" ht="13.5">
      <c r="B519" s="33">
        <f aca="true" t="shared" si="8" ref="B519:B582">B518+1</f>
        <v>515</v>
      </c>
      <c r="C519" s="36" t="s">
        <v>634</v>
      </c>
    </row>
    <row r="520" spans="2:3" ht="13.5">
      <c r="B520" s="33">
        <f t="shared" si="8"/>
        <v>516</v>
      </c>
      <c r="C520" s="36" t="s">
        <v>635</v>
      </c>
    </row>
    <row r="521" spans="2:3" ht="13.5">
      <c r="B521" s="33">
        <f t="shared" si="8"/>
        <v>517</v>
      </c>
      <c r="C521" s="36" t="s">
        <v>636</v>
      </c>
    </row>
    <row r="522" spans="2:3" ht="13.5">
      <c r="B522" s="33">
        <f t="shared" si="8"/>
        <v>518</v>
      </c>
      <c r="C522" s="36" t="s">
        <v>637</v>
      </c>
    </row>
    <row r="523" spans="2:3" ht="13.5">
      <c r="B523" s="33">
        <f t="shared" si="8"/>
        <v>519</v>
      </c>
      <c r="C523" s="36" t="s">
        <v>638</v>
      </c>
    </row>
    <row r="524" spans="2:3" ht="13.5">
      <c r="B524" s="33">
        <f t="shared" si="8"/>
        <v>520</v>
      </c>
      <c r="C524" s="36" t="s">
        <v>310</v>
      </c>
    </row>
    <row r="525" spans="2:3" ht="13.5">
      <c r="B525" s="33">
        <f t="shared" si="8"/>
        <v>521</v>
      </c>
      <c r="C525" s="36" t="s">
        <v>639</v>
      </c>
    </row>
    <row r="526" spans="2:3" ht="13.5">
      <c r="B526" s="33">
        <f t="shared" si="8"/>
        <v>522</v>
      </c>
      <c r="C526" s="36" t="s">
        <v>640</v>
      </c>
    </row>
    <row r="527" spans="2:3" ht="13.5">
      <c r="B527" s="33">
        <f t="shared" si="8"/>
        <v>523</v>
      </c>
      <c r="C527" s="36" t="s">
        <v>311</v>
      </c>
    </row>
    <row r="528" spans="2:3" ht="13.5">
      <c r="B528" s="33">
        <f t="shared" si="8"/>
        <v>524</v>
      </c>
      <c r="C528" s="36" t="s">
        <v>641</v>
      </c>
    </row>
    <row r="529" spans="2:3" ht="13.5">
      <c r="B529" s="33">
        <f t="shared" si="8"/>
        <v>525</v>
      </c>
      <c r="C529" s="36" t="s">
        <v>312</v>
      </c>
    </row>
    <row r="530" spans="2:3" ht="13.5">
      <c r="B530" s="33">
        <f t="shared" si="8"/>
        <v>526</v>
      </c>
      <c r="C530" s="36" t="s">
        <v>313</v>
      </c>
    </row>
    <row r="531" spans="2:3" ht="13.5">
      <c r="B531" s="33">
        <f t="shared" si="8"/>
        <v>527</v>
      </c>
      <c r="C531" s="36" t="s">
        <v>642</v>
      </c>
    </row>
    <row r="532" spans="2:3" ht="13.5">
      <c r="B532" s="33">
        <f t="shared" si="8"/>
        <v>528</v>
      </c>
      <c r="C532" s="36" t="s">
        <v>314</v>
      </c>
    </row>
    <row r="533" spans="2:3" ht="13.5">
      <c r="B533" s="33">
        <f t="shared" si="8"/>
        <v>529</v>
      </c>
      <c r="C533" s="36" t="s">
        <v>315</v>
      </c>
    </row>
    <row r="534" spans="2:3" ht="13.5">
      <c r="B534" s="33">
        <f t="shared" si="8"/>
        <v>530</v>
      </c>
      <c r="C534" s="36" t="s">
        <v>643</v>
      </c>
    </row>
    <row r="535" spans="2:3" ht="13.5">
      <c r="B535" s="33">
        <f t="shared" si="8"/>
        <v>531</v>
      </c>
      <c r="C535" s="36" t="s">
        <v>316</v>
      </c>
    </row>
    <row r="536" spans="2:3" ht="13.5">
      <c r="B536" s="33">
        <f t="shared" si="8"/>
        <v>532</v>
      </c>
      <c r="C536" s="36" t="s">
        <v>317</v>
      </c>
    </row>
    <row r="537" spans="2:3" ht="13.5">
      <c r="B537" s="33">
        <f t="shared" si="8"/>
        <v>533</v>
      </c>
      <c r="C537" s="36" t="s">
        <v>644</v>
      </c>
    </row>
    <row r="538" spans="2:3" ht="13.5">
      <c r="B538" s="33">
        <f t="shared" si="8"/>
        <v>534</v>
      </c>
      <c r="C538" s="36" t="s">
        <v>318</v>
      </c>
    </row>
    <row r="539" spans="2:3" ht="13.5">
      <c r="B539" s="33">
        <f t="shared" si="8"/>
        <v>535</v>
      </c>
      <c r="C539" s="36" t="s">
        <v>645</v>
      </c>
    </row>
    <row r="540" spans="2:3" ht="13.5">
      <c r="B540" s="33">
        <f t="shared" si="8"/>
        <v>536</v>
      </c>
      <c r="C540" s="36" t="s">
        <v>646</v>
      </c>
    </row>
    <row r="541" spans="2:3" ht="13.5">
      <c r="B541" s="33">
        <f t="shared" si="8"/>
        <v>537</v>
      </c>
      <c r="C541" s="36" t="s">
        <v>647</v>
      </c>
    </row>
    <row r="542" spans="2:3" ht="13.5">
      <c r="B542" s="33">
        <f t="shared" si="8"/>
        <v>538</v>
      </c>
      <c r="C542" s="36" t="s">
        <v>319</v>
      </c>
    </row>
    <row r="543" spans="2:3" ht="13.5">
      <c r="B543" s="33">
        <f t="shared" si="8"/>
        <v>539</v>
      </c>
      <c r="C543" s="36" t="s">
        <v>648</v>
      </c>
    </row>
    <row r="544" spans="2:3" ht="13.5">
      <c r="B544" s="33">
        <f t="shared" si="8"/>
        <v>540</v>
      </c>
      <c r="C544" s="36" t="s">
        <v>649</v>
      </c>
    </row>
    <row r="545" spans="2:3" ht="13.5">
      <c r="B545" s="33">
        <f t="shared" si="8"/>
        <v>541</v>
      </c>
      <c r="C545" s="36" t="s">
        <v>650</v>
      </c>
    </row>
    <row r="546" spans="2:3" ht="13.5">
      <c r="B546" s="33">
        <f t="shared" si="8"/>
        <v>542</v>
      </c>
      <c r="C546" s="36" t="s">
        <v>651</v>
      </c>
    </row>
    <row r="547" spans="2:3" ht="13.5">
      <c r="B547" s="33">
        <f t="shared" si="8"/>
        <v>543</v>
      </c>
      <c r="C547" s="36" t="s">
        <v>652</v>
      </c>
    </row>
    <row r="548" spans="2:3" ht="13.5">
      <c r="B548" s="33">
        <f t="shared" si="8"/>
        <v>544</v>
      </c>
      <c r="C548" s="36" t="s">
        <v>97</v>
      </c>
    </row>
    <row r="549" spans="2:3" ht="13.5">
      <c r="B549" s="33">
        <f t="shared" si="8"/>
        <v>545</v>
      </c>
      <c r="C549" s="36" t="s">
        <v>320</v>
      </c>
    </row>
    <row r="550" spans="2:3" ht="13.5">
      <c r="B550" s="33">
        <f t="shared" si="8"/>
        <v>546</v>
      </c>
      <c r="C550" s="36" t="s">
        <v>653</v>
      </c>
    </row>
    <row r="551" spans="2:3" ht="13.5">
      <c r="B551" s="33">
        <f t="shared" si="8"/>
        <v>547</v>
      </c>
      <c r="C551" s="36" t="s">
        <v>654</v>
      </c>
    </row>
    <row r="552" spans="2:3" ht="13.5">
      <c r="B552" s="33">
        <f t="shared" si="8"/>
        <v>548</v>
      </c>
      <c r="C552" s="36" t="s">
        <v>655</v>
      </c>
    </row>
    <row r="553" spans="2:3" ht="13.5">
      <c r="B553" s="33">
        <f t="shared" si="8"/>
        <v>549</v>
      </c>
      <c r="C553" s="36" t="s">
        <v>656</v>
      </c>
    </row>
    <row r="554" spans="2:3" ht="13.5">
      <c r="B554" s="33">
        <f t="shared" si="8"/>
        <v>550</v>
      </c>
      <c r="C554" s="36" t="s">
        <v>657</v>
      </c>
    </row>
    <row r="555" spans="2:3" ht="13.5">
      <c r="B555" s="33">
        <f t="shared" si="8"/>
        <v>551</v>
      </c>
      <c r="C555" s="36" t="s">
        <v>321</v>
      </c>
    </row>
    <row r="556" spans="2:3" ht="13.5">
      <c r="B556" s="33">
        <f t="shared" si="8"/>
        <v>552</v>
      </c>
      <c r="C556" s="36" t="s">
        <v>98</v>
      </c>
    </row>
    <row r="557" spans="2:3" ht="13.5">
      <c r="B557" s="33">
        <f t="shared" si="8"/>
        <v>553</v>
      </c>
      <c r="C557" s="36" t="s">
        <v>322</v>
      </c>
    </row>
    <row r="558" spans="2:3" ht="13.5">
      <c r="B558" s="33">
        <f t="shared" si="8"/>
        <v>554</v>
      </c>
      <c r="C558" s="36" t="s">
        <v>323</v>
      </c>
    </row>
    <row r="559" spans="2:3" ht="13.5">
      <c r="B559" s="33">
        <f t="shared" si="8"/>
        <v>555</v>
      </c>
      <c r="C559" s="36" t="s">
        <v>324</v>
      </c>
    </row>
    <row r="560" spans="2:3" ht="13.5">
      <c r="B560" s="33">
        <f t="shared" si="8"/>
        <v>556</v>
      </c>
      <c r="C560" s="36" t="s">
        <v>407</v>
      </c>
    </row>
    <row r="561" spans="2:3" ht="13.5">
      <c r="B561" s="33">
        <f t="shared" si="8"/>
        <v>557</v>
      </c>
      <c r="C561" s="36" t="s">
        <v>658</v>
      </c>
    </row>
    <row r="562" spans="2:3" ht="13.5">
      <c r="B562" s="33">
        <f t="shared" si="8"/>
        <v>558</v>
      </c>
      <c r="C562" s="36" t="s">
        <v>659</v>
      </c>
    </row>
    <row r="563" spans="2:3" ht="13.5">
      <c r="B563" s="33">
        <f t="shared" si="8"/>
        <v>559</v>
      </c>
      <c r="C563" s="36" t="s">
        <v>91</v>
      </c>
    </row>
    <row r="564" spans="2:3" ht="13.5">
      <c r="B564" s="33">
        <f t="shared" si="8"/>
        <v>560</v>
      </c>
      <c r="C564" s="36" t="s">
        <v>660</v>
      </c>
    </row>
    <row r="565" spans="2:3" ht="13.5">
      <c r="B565" s="33">
        <f t="shared" si="8"/>
        <v>561</v>
      </c>
      <c r="C565" s="36" t="s">
        <v>661</v>
      </c>
    </row>
    <row r="566" spans="2:3" ht="13.5">
      <c r="B566" s="33">
        <f t="shared" si="8"/>
        <v>562</v>
      </c>
      <c r="C566" s="36" t="s">
        <v>662</v>
      </c>
    </row>
    <row r="567" spans="2:3" ht="13.5">
      <c r="B567" s="33">
        <f t="shared" si="8"/>
        <v>563</v>
      </c>
      <c r="C567" s="36" t="s">
        <v>325</v>
      </c>
    </row>
    <row r="568" spans="2:3" ht="13.5">
      <c r="B568" s="33">
        <f t="shared" si="8"/>
        <v>564</v>
      </c>
      <c r="C568" s="36" t="s">
        <v>408</v>
      </c>
    </row>
    <row r="569" spans="2:3" ht="13.5">
      <c r="B569" s="33">
        <f t="shared" si="8"/>
        <v>565</v>
      </c>
      <c r="C569" s="36" t="s">
        <v>326</v>
      </c>
    </row>
    <row r="570" spans="2:3" ht="13.5">
      <c r="B570" s="33">
        <f t="shared" si="8"/>
        <v>566</v>
      </c>
      <c r="C570" s="36" t="s">
        <v>664</v>
      </c>
    </row>
    <row r="571" spans="2:3" ht="13.5">
      <c r="B571" s="33">
        <f t="shared" si="8"/>
        <v>567</v>
      </c>
      <c r="C571" s="36" t="s">
        <v>409</v>
      </c>
    </row>
    <row r="572" spans="2:3" ht="13.5">
      <c r="B572" s="33">
        <f t="shared" si="8"/>
        <v>568</v>
      </c>
      <c r="C572" s="36" t="s">
        <v>663</v>
      </c>
    </row>
    <row r="573" spans="2:3" ht="13.5">
      <c r="B573" s="33">
        <f t="shared" si="8"/>
        <v>569</v>
      </c>
      <c r="C573" s="36" t="s">
        <v>327</v>
      </c>
    </row>
    <row r="574" spans="2:3" ht="13.5">
      <c r="B574" s="33">
        <f t="shared" si="8"/>
        <v>570</v>
      </c>
      <c r="C574" s="36" t="s">
        <v>328</v>
      </c>
    </row>
    <row r="575" spans="2:3" ht="13.5">
      <c r="B575" s="33">
        <f t="shared" si="8"/>
        <v>571</v>
      </c>
      <c r="C575" s="36" t="s">
        <v>665</v>
      </c>
    </row>
    <row r="576" spans="2:3" ht="13.5">
      <c r="B576" s="33">
        <f t="shared" si="8"/>
        <v>572</v>
      </c>
      <c r="C576" s="36" t="s">
        <v>666</v>
      </c>
    </row>
    <row r="577" spans="2:3" ht="13.5">
      <c r="B577" s="33">
        <f t="shared" si="8"/>
        <v>573</v>
      </c>
      <c r="C577" s="36" t="s">
        <v>329</v>
      </c>
    </row>
    <row r="578" spans="2:3" ht="13.5">
      <c r="B578" s="33">
        <f t="shared" si="8"/>
        <v>574</v>
      </c>
      <c r="C578" s="36" t="s">
        <v>330</v>
      </c>
    </row>
    <row r="579" spans="2:3" ht="13.5">
      <c r="B579" s="33">
        <f t="shared" si="8"/>
        <v>575</v>
      </c>
      <c r="C579" s="36" t="s">
        <v>331</v>
      </c>
    </row>
    <row r="580" spans="2:3" ht="13.5">
      <c r="B580" s="33">
        <f t="shared" si="8"/>
        <v>576</v>
      </c>
      <c r="C580" s="36" t="s">
        <v>332</v>
      </c>
    </row>
    <row r="581" spans="2:3" ht="13.5">
      <c r="B581" s="33">
        <f t="shared" si="8"/>
        <v>577</v>
      </c>
      <c r="C581" s="36" t="s">
        <v>410</v>
      </c>
    </row>
    <row r="582" spans="2:3" ht="13.5">
      <c r="B582" s="33">
        <f t="shared" si="8"/>
        <v>578</v>
      </c>
      <c r="C582" s="36" t="s">
        <v>667</v>
      </c>
    </row>
    <row r="583" spans="2:3" ht="13.5">
      <c r="B583" s="33">
        <f aca="true" t="shared" si="9" ref="B583:B646">B582+1</f>
        <v>579</v>
      </c>
      <c r="C583" s="36" t="s">
        <v>668</v>
      </c>
    </row>
    <row r="584" spans="2:3" ht="13.5">
      <c r="B584" s="33">
        <f t="shared" si="9"/>
        <v>580</v>
      </c>
      <c r="C584" s="36" t="s">
        <v>411</v>
      </c>
    </row>
    <row r="585" spans="2:3" ht="13.5">
      <c r="B585" s="33">
        <f t="shared" si="9"/>
        <v>581</v>
      </c>
      <c r="C585" s="36" t="s">
        <v>333</v>
      </c>
    </row>
    <row r="586" spans="2:3" ht="13.5">
      <c r="B586" s="33">
        <f t="shared" si="9"/>
        <v>582</v>
      </c>
      <c r="C586" s="36" t="s">
        <v>669</v>
      </c>
    </row>
    <row r="587" spans="2:3" ht="13.5">
      <c r="B587" s="33">
        <f t="shared" si="9"/>
        <v>583</v>
      </c>
      <c r="C587" s="36" t="s">
        <v>670</v>
      </c>
    </row>
    <row r="588" spans="2:3" ht="13.5">
      <c r="B588" s="33">
        <f t="shared" si="9"/>
        <v>584</v>
      </c>
      <c r="C588" s="36" t="s">
        <v>99</v>
      </c>
    </row>
    <row r="589" spans="2:3" ht="13.5">
      <c r="B589" s="33">
        <f t="shared" si="9"/>
        <v>585</v>
      </c>
      <c r="C589" s="36" t="s">
        <v>334</v>
      </c>
    </row>
    <row r="590" spans="2:3" ht="13.5">
      <c r="B590" s="33">
        <f t="shared" si="9"/>
        <v>586</v>
      </c>
      <c r="C590" s="36" t="s">
        <v>335</v>
      </c>
    </row>
    <row r="591" spans="2:3" ht="13.5">
      <c r="B591" s="33">
        <f t="shared" si="9"/>
        <v>587</v>
      </c>
      <c r="C591" s="36" t="s">
        <v>336</v>
      </c>
    </row>
    <row r="592" spans="2:3" ht="13.5">
      <c r="B592" s="33">
        <f t="shared" si="9"/>
        <v>588</v>
      </c>
      <c r="C592" s="36" t="s">
        <v>100</v>
      </c>
    </row>
    <row r="593" spans="2:3" ht="13.5">
      <c r="B593" s="33">
        <f t="shared" si="9"/>
        <v>589</v>
      </c>
      <c r="C593" s="36" t="s">
        <v>671</v>
      </c>
    </row>
    <row r="594" spans="2:3" ht="13.5">
      <c r="B594" s="33">
        <f t="shared" si="9"/>
        <v>590</v>
      </c>
      <c r="C594" s="36" t="s">
        <v>337</v>
      </c>
    </row>
    <row r="595" spans="2:3" ht="13.5">
      <c r="B595" s="33">
        <f t="shared" si="9"/>
        <v>591</v>
      </c>
      <c r="C595" s="36" t="s">
        <v>101</v>
      </c>
    </row>
    <row r="596" spans="2:3" ht="13.5">
      <c r="B596" s="33">
        <f t="shared" si="9"/>
        <v>592</v>
      </c>
      <c r="C596" s="36" t="s">
        <v>338</v>
      </c>
    </row>
    <row r="597" spans="2:3" ht="13.5">
      <c r="B597" s="33">
        <f t="shared" si="9"/>
        <v>593</v>
      </c>
      <c r="C597" s="36" t="s">
        <v>672</v>
      </c>
    </row>
    <row r="598" spans="2:3" ht="13.5">
      <c r="B598" s="33">
        <f t="shared" si="9"/>
        <v>594</v>
      </c>
      <c r="C598" s="36" t="s">
        <v>673</v>
      </c>
    </row>
    <row r="599" spans="2:3" ht="13.5">
      <c r="B599" s="33">
        <f t="shared" si="9"/>
        <v>595</v>
      </c>
      <c r="C599" s="36" t="s">
        <v>674</v>
      </c>
    </row>
    <row r="600" spans="2:3" ht="13.5">
      <c r="B600" s="33">
        <f t="shared" si="9"/>
        <v>596</v>
      </c>
      <c r="C600" s="36" t="s">
        <v>339</v>
      </c>
    </row>
    <row r="601" spans="2:3" ht="13.5">
      <c r="B601" s="33">
        <f t="shared" si="9"/>
        <v>597</v>
      </c>
      <c r="C601" s="36" t="s">
        <v>340</v>
      </c>
    </row>
    <row r="602" spans="2:3" ht="13.5">
      <c r="B602" s="33">
        <f t="shared" si="9"/>
        <v>598</v>
      </c>
      <c r="C602" s="36" t="s">
        <v>341</v>
      </c>
    </row>
    <row r="603" spans="2:3" ht="13.5">
      <c r="B603" s="33">
        <f t="shared" si="9"/>
        <v>599</v>
      </c>
      <c r="C603" s="36" t="s">
        <v>675</v>
      </c>
    </row>
    <row r="604" spans="2:3" ht="13.5">
      <c r="B604" s="33">
        <f t="shared" si="9"/>
        <v>600</v>
      </c>
      <c r="C604" s="36" t="s">
        <v>676</v>
      </c>
    </row>
    <row r="605" spans="2:3" ht="13.5">
      <c r="B605" s="33">
        <f t="shared" si="9"/>
        <v>601</v>
      </c>
      <c r="C605" s="36" t="s">
        <v>342</v>
      </c>
    </row>
    <row r="606" spans="2:3" ht="13.5">
      <c r="B606" s="33">
        <f t="shared" si="9"/>
        <v>602</v>
      </c>
      <c r="C606" s="36" t="s">
        <v>677</v>
      </c>
    </row>
    <row r="607" spans="2:3" ht="13.5">
      <c r="B607" s="33">
        <f t="shared" si="9"/>
        <v>603</v>
      </c>
      <c r="C607" s="36" t="s">
        <v>678</v>
      </c>
    </row>
    <row r="608" spans="2:3" ht="13.5">
      <c r="B608" s="33">
        <f t="shared" si="9"/>
        <v>604</v>
      </c>
      <c r="C608" s="36" t="s">
        <v>102</v>
      </c>
    </row>
    <row r="609" spans="2:3" ht="13.5">
      <c r="B609" s="33">
        <f t="shared" si="9"/>
        <v>605</v>
      </c>
      <c r="C609" s="36" t="s">
        <v>343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824</v>
      </c>
    </row>
    <row r="8" ht="20.25">
      <c r="B8" s="181" t="s">
        <v>825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1032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1012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2" t="s">
        <v>1007</v>
      </c>
      <c r="E7" s="592"/>
      <c r="F7" s="592"/>
      <c r="G7" s="476"/>
      <c r="H7" s="562" t="s">
        <v>1006</v>
      </c>
      <c r="I7" s="562"/>
      <c r="J7" s="566"/>
      <c r="K7" s="566"/>
      <c r="L7" s="567" t="s">
        <v>1005</v>
      </c>
      <c r="M7" s="568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2" t="s">
        <v>1008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819</v>
      </c>
      <c r="F19" s="430" t="s">
        <v>819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1017</v>
      </c>
      <c r="F20" s="491" t="s">
        <v>1017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873</v>
      </c>
      <c r="F21" s="419" t="s">
        <v>1018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873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1010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820</v>
      </c>
      <c r="F24" s="493" t="s">
        <v>820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821</v>
      </c>
      <c r="F25" s="493" t="s">
        <v>821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821</v>
      </c>
      <c r="F26" s="495" t="s">
        <v>906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M13" sqref="M13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0" t="s">
        <v>1023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98"/>
      <c r="R3" s="498"/>
    </row>
    <row r="4" spans="2:18" ht="9.75" customHeight="1">
      <c r="B4" s="410"/>
      <c r="C4" s="410"/>
      <c r="D4" s="41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498"/>
      <c r="R4" s="498"/>
    </row>
    <row r="5" spans="2:18" ht="9.75" customHeight="1">
      <c r="B5" s="177"/>
      <c r="C5" s="177"/>
      <c r="D5" s="177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99"/>
      <c r="R5" s="499"/>
    </row>
    <row r="6" spans="2:18" ht="19.5" customHeight="1">
      <c r="B6" s="177"/>
      <c r="C6" s="177"/>
      <c r="D6" s="177"/>
      <c r="E6" s="572" t="s">
        <v>1031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1" t="s">
        <v>865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02"/>
      <c r="R9" s="502"/>
    </row>
    <row r="10" spans="2:18" ht="15" customHeight="1">
      <c r="B10" s="177"/>
      <c r="C10" s="177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1019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1020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24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736</v>
      </c>
      <c r="E16" s="424"/>
      <c r="F16" s="417" t="s">
        <v>1011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1035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1021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1022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69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5" t="s">
        <v>920</v>
      </c>
      <c r="B2" s="555"/>
      <c r="C2" s="555"/>
      <c r="D2" s="555"/>
      <c r="E2" s="555"/>
      <c r="F2" s="555"/>
      <c r="G2" s="555"/>
      <c r="H2" s="555"/>
      <c r="I2" s="30"/>
    </row>
    <row r="3" spans="1:9" ht="14.25">
      <c r="A3" s="556" t="s">
        <v>921</v>
      </c>
      <c r="B3" s="556"/>
      <c r="C3" s="556"/>
      <c r="D3" s="556"/>
      <c r="E3" s="556"/>
      <c r="F3" s="556"/>
      <c r="G3" s="556"/>
      <c r="H3" s="55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37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59</v>
      </c>
      <c r="B9" s="346"/>
      <c r="C9" s="28" t="str">
        <f>COMANDOBLOQUEADO!U6</f>
        <v>3º TRIMESTRE</v>
      </c>
      <c r="D9" s="1"/>
      <c r="E9" s="348" t="s">
        <v>926</v>
      </c>
      <c r="F9" s="548" t="str">
        <f>COMANDOBLOQUEADO!Y6</f>
        <v>2005</v>
      </c>
      <c r="G9" s="54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5"/>
      <c r="B11" s="557"/>
      <c r="C11" s="557"/>
      <c r="D11" s="557"/>
      <c r="E11" s="557"/>
      <c r="F11" s="557"/>
      <c r="G11" s="557"/>
      <c r="H11" s="557"/>
      <c r="I11" s="557"/>
    </row>
    <row r="12" spans="1:9" ht="15.75">
      <c r="A12" s="555" t="s">
        <v>991</v>
      </c>
      <c r="B12" s="557"/>
      <c r="C12" s="557"/>
      <c r="D12" s="557"/>
      <c r="E12" s="557"/>
      <c r="F12" s="557"/>
      <c r="G12" s="557"/>
      <c r="H12" s="557"/>
      <c r="I12" s="55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992</v>
      </c>
      <c r="B15" s="581"/>
      <c r="C15" s="581"/>
      <c r="D15" s="581"/>
      <c r="E15" s="581"/>
      <c r="F15" s="581"/>
      <c r="G15" s="581"/>
      <c r="H15" s="581"/>
      <c r="I15" s="549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49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49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5" t="s">
        <v>993</v>
      </c>
      <c r="C20" s="535"/>
      <c r="D20" s="535"/>
      <c r="E20" s="539" t="s">
        <v>968</v>
      </c>
      <c r="F20" s="539" t="s">
        <v>729</v>
      </c>
      <c r="G20" s="539" t="s">
        <v>969</v>
      </c>
      <c r="H20" s="539" t="s">
        <v>729</v>
      </c>
      <c r="I20" s="30"/>
    </row>
    <row r="21" spans="1:9" ht="12.75">
      <c r="A21" s="1"/>
      <c r="B21" s="536"/>
      <c r="C21" s="536"/>
      <c r="D21" s="536"/>
      <c r="E21" s="540"/>
      <c r="F21" s="539"/>
      <c r="G21" s="540"/>
      <c r="H21" s="541"/>
      <c r="I21" s="30"/>
    </row>
    <row r="22" spans="1:9" ht="9.75" customHeight="1">
      <c r="A22" s="1"/>
      <c r="B22" s="543"/>
      <c r="C22" s="544"/>
      <c r="D22" s="544"/>
      <c r="E22" s="545"/>
      <c r="F22" s="545"/>
      <c r="G22" s="545"/>
      <c r="H22" s="546"/>
      <c r="I22" s="30"/>
    </row>
    <row r="23" spans="1:9" ht="12.75">
      <c r="A23" s="1"/>
      <c r="B23" s="524" t="s">
        <v>994</v>
      </c>
      <c r="C23" s="525"/>
      <c r="D23" s="525"/>
      <c r="E23" s="338"/>
      <c r="F23" s="338"/>
      <c r="G23" s="338"/>
      <c r="H23" s="353"/>
      <c r="I23" s="30"/>
    </row>
    <row r="24" spans="1:9" ht="12.75">
      <c r="A24" s="61"/>
      <c r="B24" s="354" t="s">
        <v>995</v>
      </c>
      <c r="C24" s="4"/>
      <c r="D24" s="4"/>
      <c r="E24" s="350">
        <f>RESUMO!G9</f>
        <v>2089518.9100000001</v>
      </c>
      <c r="F24" s="351"/>
      <c r="G24" s="350">
        <f>RESUMO!I9</f>
        <v>6779989.300000001</v>
      </c>
      <c r="H24" s="351"/>
      <c r="I24" s="30"/>
    </row>
    <row r="25" spans="1:9" ht="12.75">
      <c r="A25" s="61"/>
      <c r="B25" s="552" t="s">
        <v>996</v>
      </c>
      <c r="C25" s="553"/>
      <c r="D25" s="553"/>
      <c r="E25" s="350">
        <f>RESUMO!G18</f>
        <v>345730.43</v>
      </c>
      <c r="F25" s="351"/>
      <c r="G25" s="350">
        <f>RESUMO!I18</f>
        <v>1046987.56</v>
      </c>
      <c r="H25" s="351"/>
      <c r="I25" s="30"/>
    </row>
    <row r="26" spans="1:9" ht="9.75" customHeight="1">
      <c r="A26" s="61"/>
      <c r="B26" s="552"/>
      <c r="C26" s="553"/>
      <c r="D26" s="553"/>
      <c r="E26" s="553"/>
      <c r="F26" s="553"/>
      <c r="G26" s="553"/>
      <c r="H26" s="542"/>
      <c r="I26" s="30"/>
    </row>
    <row r="27" spans="1:9" ht="12.75">
      <c r="A27" s="61"/>
      <c r="B27" s="554" t="s">
        <v>997</v>
      </c>
      <c r="C27" s="553"/>
      <c r="D27" s="553"/>
      <c r="E27" s="4"/>
      <c r="F27" s="15"/>
      <c r="G27" s="4"/>
      <c r="H27" s="353"/>
      <c r="I27" s="30"/>
    </row>
    <row r="28" spans="1:9" ht="12.75">
      <c r="A28" s="1"/>
      <c r="B28" s="552" t="s">
        <v>998</v>
      </c>
      <c r="C28" s="553"/>
      <c r="D28" s="553"/>
      <c r="E28" s="350">
        <f>RESUMO!G23</f>
        <v>114174.53999999998</v>
      </c>
      <c r="F28" s="352">
        <f>RESUMO!H23</f>
        <v>5.464154425862553</v>
      </c>
      <c r="G28" s="350">
        <f>RESUMO!I23</f>
        <v>328432.75</v>
      </c>
      <c r="H28" s="352">
        <f>RESUMO!J23</f>
        <v>4.844148500352353</v>
      </c>
      <c r="I28" s="30"/>
    </row>
    <row r="29" spans="1:9" ht="12.75">
      <c r="A29" s="1"/>
      <c r="B29" s="552" t="s">
        <v>999</v>
      </c>
      <c r="C29" s="553"/>
      <c r="D29" s="553"/>
      <c r="E29" s="350">
        <f>RESUMO!G31</f>
        <v>401442.75000000006</v>
      </c>
      <c r="F29" s="352">
        <f>RESUMO!H31</f>
        <v>19.212209474572308</v>
      </c>
      <c r="G29" s="350">
        <f>RESUMO!I31</f>
        <v>1432821.0799999996</v>
      </c>
      <c r="H29" s="352">
        <f>RESUMO!J31</f>
        <v>21.133087628914097</v>
      </c>
      <c r="I29" s="30"/>
    </row>
    <row r="30" spans="1:9" ht="12.75">
      <c r="A30" s="1"/>
      <c r="B30" s="552" t="s">
        <v>1000</v>
      </c>
      <c r="C30" s="553"/>
      <c r="D30" s="553"/>
      <c r="E30" s="350">
        <f>RESUMO!G35</f>
        <v>515617.29000000004</v>
      </c>
      <c r="F30" s="352">
        <f>RESUMO!H35</f>
        <v>24.67636390043486</v>
      </c>
      <c r="G30" s="350">
        <f>RESUMO!I35</f>
        <v>1761253.8299999996</v>
      </c>
      <c r="H30" s="352">
        <f>RESUMO!J35</f>
        <v>25.97723612926645</v>
      </c>
      <c r="I30" s="30"/>
    </row>
    <row r="31" spans="1:9" ht="9.75" customHeight="1">
      <c r="A31" s="1"/>
      <c r="B31" s="552"/>
      <c r="C31" s="553"/>
      <c r="D31" s="553"/>
      <c r="E31" s="553"/>
      <c r="F31" s="553"/>
      <c r="G31" s="553"/>
      <c r="H31" s="542"/>
      <c r="I31" s="30"/>
    </row>
    <row r="32" spans="1:9" ht="12.75">
      <c r="A32" s="1"/>
      <c r="B32" s="554" t="s">
        <v>1001</v>
      </c>
      <c r="C32" s="553"/>
      <c r="D32" s="553"/>
      <c r="E32" s="4"/>
      <c r="F32" s="15"/>
      <c r="G32" s="4"/>
      <c r="H32" s="353"/>
      <c r="I32" s="30"/>
    </row>
    <row r="33" spans="1:9" ht="12.75">
      <c r="A33" s="1"/>
      <c r="B33" s="354" t="s">
        <v>1002</v>
      </c>
      <c r="C33" s="4"/>
      <c r="D33" s="4"/>
      <c r="E33" s="350">
        <f>RESUMO!G42</f>
        <v>271049.1</v>
      </c>
      <c r="F33" s="351"/>
      <c r="G33" s="350">
        <f>RESUMO!I42</f>
        <v>807883.8600000001</v>
      </c>
      <c r="H33" s="351"/>
      <c r="I33" s="30"/>
    </row>
    <row r="34" spans="1:9" ht="12.75">
      <c r="A34" s="1"/>
      <c r="B34" s="552" t="s">
        <v>977</v>
      </c>
      <c r="C34" s="553"/>
      <c r="D34" s="553"/>
      <c r="E34" s="350">
        <f>RESUMO!G45</f>
        <v>177241.53</v>
      </c>
      <c r="F34" s="352">
        <f>RESUMO!H45</f>
        <v>65.39093101581966</v>
      </c>
      <c r="G34" s="350">
        <f>RESUMO!I45</f>
        <v>527879.0800000001</v>
      </c>
      <c r="H34" s="352">
        <f>RESUMO!J45</f>
        <v>65.34096126143676</v>
      </c>
      <c r="I34" s="30"/>
    </row>
    <row r="35" spans="1:9" ht="12.75">
      <c r="A35" s="1"/>
      <c r="B35" s="552" t="s">
        <v>1013</v>
      </c>
      <c r="C35" s="553"/>
      <c r="D35" s="553"/>
      <c r="E35" s="350">
        <f>RESUMO!G46</f>
        <v>23465.469999999998</v>
      </c>
      <c r="F35" s="352">
        <f>RESUMO!H46</f>
        <v>8.65727648606839</v>
      </c>
      <c r="G35" s="350">
        <f>RESUMO!I46</f>
        <v>209662.68</v>
      </c>
      <c r="H35" s="352">
        <f>RESUMO!J46</f>
        <v>25.952081775714635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6" t="str">
        <f>COMANDOBLOQUEADO!S19</f>
        <v>CARDOSO</v>
      </c>
      <c r="C39" s="526"/>
      <c r="D39" s="526"/>
      <c r="E39" s="315" t="s">
        <v>30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7" t="s">
        <v>1014</v>
      </c>
      <c r="C44" s="537"/>
      <c r="D44" s="522"/>
      <c r="E44" s="537" t="s">
        <v>32</v>
      </c>
      <c r="F44" s="537"/>
      <c r="G44" s="537"/>
      <c r="H44" s="538"/>
      <c r="I44" s="349"/>
    </row>
    <row r="45" spans="1:9" ht="15">
      <c r="A45" s="1"/>
      <c r="B45" s="523" t="s">
        <v>1015</v>
      </c>
      <c r="C45" s="523"/>
      <c r="D45" s="528"/>
      <c r="E45" s="537" t="s">
        <v>34</v>
      </c>
      <c r="F45" s="527"/>
      <c r="G45" s="527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7" t="s">
        <v>1014</v>
      </c>
      <c r="C49" s="537"/>
      <c r="D49" s="522"/>
      <c r="E49" s="537" t="s">
        <v>32</v>
      </c>
      <c r="F49" s="537"/>
      <c r="G49" s="537"/>
      <c r="H49" s="538"/>
      <c r="I49" s="349"/>
    </row>
    <row r="50" spans="1:9" ht="15">
      <c r="A50" s="1"/>
      <c r="B50" s="523" t="s">
        <v>1016</v>
      </c>
      <c r="C50" s="523"/>
      <c r="D50" s="547" t="s">
        <v>31</v>
      </c>
      <c r="E50" s="534"/>
      <c r="F50" s="534"/>
      <c r="G50" s="534"/>
      <c r="H50" s="534"/>
      <c r="I50" s="534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I55" sqref="I55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913</v>
      </c>
      <c r="C2" s="529" t="str">
        <f>COMANDOBLOQUEADO!S19</f>
        <v>CARDOSO</v>
      </c>
      <c r="D2" s="530"/>
      <c r="E2" s="229"/>
      <c r="F2" s="229"/>
      <c r="G2" s="45" t="s">
        <v>59</v>
      </c>
      <c r="H2" s="22" t="str">
        <f>COMANDOBLOQUEADO!U6</f>
        <v>3º TRIMESTRE</v>
      </c>
      <c r="I2" s="22" t="str">
        <f>COMANDOBLOQUEADO!Y6</f>
        <v>2005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5" t="s">
        <v>687</v>
      </c>
      <c r="C4" s="516"/>
      <c r="D4" s="516"/>
      <c r="E4" s="516"/>
      <c r="F4" s="516"/>
      <c r="G4" s="516"/>
      <c r="H4" s="516"/>
      <c r="I4" s="516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19" t="s">
        <v>843</v>
      </c>
      <c r="C6" s="520"/>
      <c r="D6" s="231" t="s">
        <v>798</v>
      </c>
      <c r="E6" s="231" t="s">
        <v>799</v>
      </c>
      <c r="F6" s="231" t="s">
        <v>800</v>
      </c>
      <c r="G6" s="231" t="s">
        <v>801</v>
      </c>
      <c r="H6" s="231" t="s">
        <v>802</v>
      </c>
      <c r="I6" s="232" t="s">
        <v>803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694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45</v>
      </c>
      <c r="C9" s="23"/>
      <c r="D9" s="238">
        <v>263000</v>
      </c>
      <c r="E9" s="238">
        <v>125160.78</v>
      </c>
      <c r="F9" s="238">
        <v>57803.95</v>
      </c>
      <c r="G9" s="238">
        <v>34571.85</v>
      </c>
      <c r="H9" s="238"/>
      <c r="I9" s="239">
        <f aca="true" t="shared" si="0" ref="I9:I15">SUM(E9:H9)</f>
        <v>217536.58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104</v>
      </c>
      <c r="C10" s="23"/>
      <c r="D10" s="238">
        <v>78000</v>
      </c>
      <c r="E10" s="238">
        <v>34675.19</v>
      </c>
      <c r="F10" s="238">
        <v>27132.37</v>
      </c>
      <c r="G10" s="238">
        <v>21385.97</v>
      </c>
      <c r="H10" s="238"/>
      <c r="I10" s="239">
        <f t="shared" si="0"/>
        <v>83193.53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105</v>
      </c>
      <c r="C11" s="23"/>
      <c r="D11" s="238">
        <v>120000</v>
      </c>
      <c r="E11" s="238">
        <v>34446.05</v>
      </c>
      <c r="F11" s="238">
        <v>48657.2</v>
      </c>
      <c r="G11" s="238">
        <v>44941.38</v>
      </c>
      <c r="H11" s="238"/>
      <c r="I11" s="239">
        <f t="shared" si="0"/>
        <v>128044.63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50</v>
      </c>
      <c r="C12" s="23"/>
      <c r="D12" s="238">
        <v>150000</v>
      </c>
      <c r="E12" s="238">
        <v>27258.84</v>
      </c>
      <c r="F12" s="238">
        <v>37563.38</v>
      </c>
      <c r="G12" s="238">
        <v>57434.77</v>
      </c>
      <c r="H12" s="238"/>
      <c r="I12" s="239">
        <f t="shared" si="0"/>
        <v>122256.98999999999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46</v>
      </c>
      <c r="C13" s="23"/>
      <c r="D13" s="238">
        <v>120000</v>
      </c>
      <c r="E13" s="238">
        <v>8854.41</v>
      </c>
      <c r="F13" s="238">
        <v>14547.35</v>
      </c>
      <c r="G13" s="238">
        <v>14937.8</v>
      </c>
      <c r="H13" s="238"/>
      <c r="I13" s="239">
        <f t="shared" si="0"/>
        <v>38339.56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47</v>
      </c>
      <c r="C14" s="23"/>
      <c r="D14" s="238">
        <v>0</v>
      </c>
      <c r="E14" s="238">
        <v>0</v>
      </c>
      <c r="F14" s="238">
        <v>0</v>
      </c>
      <c r="G14" s="238">
        <v>0</v>
      </c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48</v>
      </c>
      <c r="C15" s="23"/>
      <c r="D15" s="238">
        <v>14500</v>
      </c>
      <c r="E15" s="238">
        <v>889.82</v>
      </c>
      <c r="F15" s="238">
        <v>539.52</v>
      </c>
      <c r="G15" s="238">
        <v>531.3</v>
      </c>
      <c r="H15" s="238"/>
      <c r="I15" s="239">
        <f t="shared" si="0"/>
        <v>1960.64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1" t="s">
        <v>699</v>
      </c>
      <c r="C16" s="532"/>
      <c r="D16" s="241">
        <f aca="true" t="shared" si="1" ref="D16:I16">SUM(D9:D15)</f>
        <v>745500</v>
      </c>
      <c r="E16" s="241">
        <f t="shared" si="1"/>
        <v>231285.09000000003</v>
      </c>
      <c r="F16" s="241">
        <f t="shared" si="1"/>
        <v>186243.77</v>
      </c>
      <c r="G16" s="241">
        <f t="shared" si="1"/>
        <v>173803.06999999998</v>
      </c>
      <c r="H16" s="241">
        <f t="shared" si="1"/>
        <v>0</v>
      </c>
      <c r="I16" s="80">
        <f t="shared" si="1"/>
        <v>591331.93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38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49</v>
      </c>
      <c r="C19" s="23"/>
      <c r="D19" s="238">
        <v>3400000</v>
      </c>
      <c r="E19" s="238">
        <v>920081.15</v>
      </c>
      <c r="F19" s="238">
        <v>995389.31</v>
      </c>
      <c r="G19" s="238">
        <v>801187.28</v>
      </c>
      <c r="H19" s="238"/>
      <c r="I19" s="239">
        <f>SUM(E19:H19)</f>
        <v>2716657.74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51</v>
      </c>
      <c r="C20" s="23"/>
      <c r="D20" s="238">
        <v>28000</v>
      </c>
      <c r="E20" s="238">
        <v>8852.73</v>
      </c>
      <c r="F20" s="238">
        <v>136.48</v>
      </c>
      <c r="G20" s="238">
        <v>199.03</v>
      </c>
      <c r="H20" s="238"/>
      <c r="I20" s="239">
        <f>SUM(E20:H20)</f>
        <v>9188.24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908</v>
      </c>
      <c r="C21" s="23"/>
      <c r="D21" s="238">
        <v>100000</v>
      </c>
      <c r="E21" s="238">
        <v>21907.68</v>
      </c>
      <c r="F21" s="238">
        <v>21907.68</v>
      </c>
      <c r="G21" s="238">
        <v>21907.68</v>
      </c>
      <c r="H21" s="238"/>
      <c r="I21" s="239">
        <f>SUM(E21:H21)</f>
        <v>65723.04000000001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685</v>
      </c>
      <c r="C22" s="23"/>
      <c r="D22" s="238">
        <v>0</v>
      </c>
      <c r="E22" s="238">
        <v>0</v>
      </c>
      <c r="F22" s="238">
        <v>0</v>
      </c>
      <c r="G22" s="238">
        <v>0</v>
      </c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1" t="s">
        <v>679</v>
      </c>
      <c r="C23" s="532"/>
      <c r="D23" s="241">
        <f aca="true" t="shared" si="2" ref="D23:I23">SUM(D19:D22)</f>
        <v>3528000</v>
      </c>
      <c r="E23" s="241">
        <f t="shared" si="2"/>
        <v>950841.56</v>
      </c>
      <c r="F23" s="241">
        <f t="shared" si="2"/>
        <v>1017433.4700000001</v>
      </c>
      <c r="G23" s="241">
        <f t="shared" si="2"/>
        <v>823293.9900000001</v>
      </c>
      <c r="H23" s="241">
        <f t="shared" si="2"/>
        <v>0</v>
      </c>
      <c r="I23" s="80">
        <f t="shared" si="2"/>
        <v>2791569.0200000005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09"/>
      <c r="C24" s="510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36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52</v>
      </c>
      <c r="C26" s="23"/>
      <c r="D26" s="238">
        <v>4100000</v>
      </c>
      <c r="E26" s="238">
        <v>1010162.25</v>
      </c>
      <c r="F26" s="238">
        <v>1037698.64</v>
      </c>
      <c r="G26" s="238">
        <v>1049861.05</v>
      </c>
      <c r="H26" s="238"/>
      <c r="I26" s="239">
        <f>SUM(E26:H26)</f>
        <v>3097721.9400000004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53</v>
      </c>
      <c r="C27" s="23"/>
      <c r="D27" s="238">
        <v>260000</v>
      </c>
      <c r="E27" s="238">
        <v>192779.94</v>
      </c>
      <c r="F27" s="238">
        <v>45255.03</v>
      </c>
      <c r="G27" s="238">
        <v>33244.56</v>
      </c>
      <c r="H27" s="238"/>
      <c r="I27" s="239">
        <f>SUM(E27:H27)</f>
        <v>271279.53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54</v>
      </c>
      <c r="C28" s="23"/>
      <c r="D28" s="238">
        <v>40000</v>
      </c>
      <c r="E28" s="238">
        <v>9124.95</v>
      </c>
      <c r="F28" s="238">
        <v>9645.69</v>
      </c>
      <c r="G28" s="238">
        <v>9316.24</v>
      </c>
      <c r="H28" s="238"/>
      <c r="I28" s="239">
        <f>SUM(E28:H28)</f>
        <v>28086.879999999997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103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686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33" t="s">
        <v>680</v>
      </c>
      <c r="C31" s="512"/>
      <c r="D31" s="248">
        <f aca="true" t="shared" si="3" ref="D31:I31">SUM(D26:D30)</f>
        <v>4400000</v>
      </c>
      <c r="E31" s="248">
        <f t="shared" si="3"/>
        <v>1212067.14</v>
      </c>
      <c r="F31" s="248">
        <f t="shared" si="3"/>
        <v>1092599.3599999999</v>
      </c>
      <c r="G31" s="248">
        <f t="shared" si="3"/>
        <v>1092421.85</v>
      </c>
      <c r="H31" s="248">
        <f t="shared" si="3"/>
        <v>0</v>
      </c>
      <c r="I31" s="249">
        <f t="shared" si="3"/>
        <v>3397088.3500000006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3" t="s">
        <v>842</v>
      </c>
      <c r="C32" s="514"/>
      <c r="D32" s="250">
        <f aca="true" t="shared" si="4" ref="D32:I32">D16+D23+D31</f>
        <v>8673500</v>
      </c>
      <c r="E32" s="250">
        <f t="shared" si="4"/>
        <v>2394193.79</v>
      </c>
      <c r="F32" s="250">
        <f t="shared" si="4"/>
        <v>2296276.5999999996</v>
      </c>
      <c r="G32" s="250">
        <f t="shared" si="4"/>
        <v>2089518.9100000001</v>
      </c>
      <c r="H32" s="250">
        <f t="shared" si="4"/>
        <v>0</v>
      </c>
      <c r="I32" s="81">
        <f t="shared" si="4"/>
        <v>6779989.300000001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19" t="s">
        <v>844</v>
      </c>
      <c r="C34" s="520"/>
      <c r="D34" s="231" t="s">
        <v>798</v>
      </c>
      <c r="E34" s="231" t="s">
        <v>799</v>
      </c>
      <c r="F34" s="231" t="s">
        <v>800</v>
      </c>
      <c r="G34" s="231" t="s">
        <v>801</v>
      </c>
      <c r="H34" s="231" t="s">
        <v>802</v>
      </c>
      <c r="I34" s="232" t="s">
        <v>803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7" t="s">
        <v>691</v>
      </c>
      <c r="C36" s="518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692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693</v>
      </c>
      <c r="C38" s="226"/>
      <c r="D38" s="252">
        <v>6000</v>
      </c>
      <c r="E38" s="238">
        <f>1129.08+252.48</f>
        <v>1381.56</v>
      </c>
      <c r="F38" s="252">
        <f>1710.52+568.92</f>
        <v>2279.44</v>
      </c>
      <c r="G38" s="252">
        <v>1692.16</v>
      </c>
      <c r="H38" s="252"/>
      <c r="I38" s="253">
        <f>SUM(E38:H38)</f>
        <v>5353.16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695</v>
      </c>
      <c r="C39" s="243"/>
      <c r="D39" s="241">
        <f aca="true" t="shared" si="5" ref="D39:I39">SUM(D37:D38)</f>
        <v>6000</v>
      </c>
      <c r="E39" s="241">
        <f t="shared" si="5"/>
        <v>1381.56</v>
      </c>
      <c r="F39" s="241">
        <f t="shared" si="5"/>
        <v>2279.44</v>
      </c>
      <c r="G39" s="241">
        <f t="shared" si="5"/>
        <v>1692.16</v>
      </c>
      <c r="H39" s="241">
        <f t="shared" si="5"/>
        <v>0</v>
      </c>
      <c r="I39" s="80">
        <f t="shared" si="5"/>
        <v>5353.16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7" t="s">
        <v>706</v>
      </c>
      <c r="C41" s="518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700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839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>
        <v>0</v>
      </c>
      <c r="G44" s="238">
        <v>0</v>
      </c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>
        <v>0</v>
      </c>
      <c r="G45" s="238">
        <v>0</v>
      </c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707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57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840</v>
      </c>
      <c r="C49" s="243"/>
      <c r="D49" s="252">
        <v>60000</v>
      </c>
      <c r="E49" s="238">
        <v>0</v>
      </c>
      <c r="F49" s="252">
        <v>37750</v>
      </c>
      <c r="G49" s="252">
        <v>15100</v>
      </c>
      <c r="H49" s="252"/>
      <c r="I49" s="253">
        <f>SUM(E49:H49)</f>
        <v>52850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841</v>
      </c>
      <c r="C50" s="243"/>
      <c r="D50" s="252">
        <v>340000</v>
      </c>
      <c r="E50" s="238">
        <v>76398.9</v>
      </c>
      <c r="F50" s="252">
        <v>41892.48</v>
      </c>
      <c r="G50" s="252">
        <v>53169.18</v>
      </c>
      <c r="H50" s="252"/>
      <c r="I50" s="253">
        <f>SUM(E50:H50)</f>
        <v>171460.56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1024</v>
      </c>
      <c r="C51" s="261"/>
      <c r="D51" s="252">
        <v>0</v>
      </c>
      <c r="E51" s="238">
        <v>0</v>
      </c>
      <c r="F51" s="252">
        <v>0</v>
      </c>
      <c r="G51" s="252">
        <v>0</v>
      </c>
      <c r="H51" s="252"/>
      <c r="I51" s="253">
        <f>SUM(E51:H51)</f>
        <v>0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1025</v>
      </c>
      <c r="C52" s="261"/>
      <c r="D52" s="252">
        <v>15000</v>
      </c>
      <c r="E52" s="238">
        <v>0</v>
      </c>
      <c r="F52" s="252">
        <v>4719.99</v>
      </c>
      <c r="G52" s="252">
        <v>4719.99</v>
      </c>
      <c r="H52" s="252"/>
      <c r="I52" s="253">
        <f>SUM(E52:H52)</f>
        <v>9439.98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>
        <v>0</v>
      </c>
      <c r="E53" s="238">
        <v>0</v>
      </c>
      <c r="F53" s="252">
        <v>0</v>
      </c>
      <c r="G53" s="252">
        <v>0</v>
      </c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708</v>
      </c>
      <c r="C54" s="243"/>
      <c r="D54" s="241">
        <f aca="true" t="shared" si="7" ref="D54:I54">SUM(D49:D53)</f>
        <v>415000</v>
      </c>
      <c r="E54" s="241">
        <f t="shared" si="7"/>
        <v>76398.9</v>
      </c>
      <c r="F54" s="241">
        <f t="shared" si="7"/>
        <v>84362.47000000002</v>
      </c>
      <c r="G54" s="241">
        <f t="shared" si="7"/>
        <v>72989.17</v>
      </c>
      <c r="H54" s="241">
        <f t="shared" si="7"/>
        <v>0</v>
      </c>
      <c r="I54" s="80">
        <f t="shared" si="7"/>
        <v>233750.54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709</v>
      </c>
      <c r="C55" s="243"/>
      <c r="D55" s="241">
        <f aca="true" t="shared" si="8" ref="D55:I55">D46+D54</f>
        <v>415000</v>
      </c>
      <c r="E55" s="241">
        <f t="shared" si="8"/>
        <v>76398.9</v>
      </c>
      <c r="F55" s="241">
        <f t="shared" si="8"/>
        <v>84362.47000000002</v>
      </c>
      <c r="G55" s="241">
        <f t="shared" si="8"/>
        <v>72989.17</v>
      </c>
      <c r="H55" s="241">
        <f t="shared" si="8"/>
        <v>0</v>
      </c>
      <c r="I55" s="80">
        <f t="shared" si="8"/>
        <v>233750.54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7" t="s">
        <v>39</v>
      </c>
      <c r="C57" s="518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826</v>
      </c>
      <c r="C58" s="243"/>
      <c r="D58" s="238">
        <v>1100000</v>
      </c>
      <c r="E58" s="238">
        <v>262268.95</v>
      </c>
      <c r="F58" s="238">
        <v>269159.16</v>
      </c>
      <c r="G58" s="238">
        <v>268292.44</v>
      </c>
      <c r="H58" s="238"/>
      <c r="I58" s="84">
        <f>SUM(E58:H58)</f>
        <v>799720.55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733</v>
      </c>
      <c r="C59" s="243"/>
      <c r="D59" s="238">
        <v>6000</v>
      </c>
      <c r="E59" s="238">
        <v>2811.69</v>
      </c>
      <c r="F59" s="238">
        <v>2594.96</v>
      </c>
      <c r="G59" s="238">
        <v>2756.66</v>
      </c>
      <c r="H59" s="238"/>
      <c r="I59" s="253">
        <f>SUM(E59:H59)</f>
        <v>8163.3099999999995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1" t="s">
        <v>696</v>
      </c>
      <c r="C60" s="532"/>
      <c r="D60" s="241">
        <f aca="true" t="shared" si="9" ref="D60:I60">SUM(D58:D59)</f>
        <v>1106000</v>
      </c>
      <c r="E60" s="241">
        <f t="shared" si="9"/>
        <v>265080.64</v>
      </c>
      <c r="F60" s="241">
        <f t="shared" si="9"/>
        <v>271754.12</v>
      </c>
      <c r="G60" s="241">
        <f t="shared" si="9"/>
        <v>271049.1</v>
      </c>
      <c r="H60" s="241">
        <f t="shared" si="9"/>
        <v>0</v>
      </c>
      <c r="I60" s="80">
        <f t="shared" si="9"/>
        <v>807883.8600000001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7" t="s">
        <v>697</v>
      </c>
      <c r="C62" s="518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166</v>
      </c>
      <c r="C63" s="243"/>
      <c r="D63" s="238">
        <v>0</v>
      </c>
      <c r="E63" s="238">
        <v>0</v>
      </c>
      <c r="F63" s="238">
        <v>0</v>
      </c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167</v>
      </c>
      <c r="C64" s="243"/>
      <c r="D64" s="238">
        <v>0</v>
      </c>
      <c r="E64" s="238">
        <v>0</v>
      </c>
      <c r="F64" s="238">
        <v>0</v>
      </c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698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3" t="s">
        <v>845</v>
      </c>
      <c r="C66" s="511"/>
      <c r="D66" s="250">
        <f aca="true" t="shared" si="11" ref="D66:I66">D39+D55+D60+D65</f>
        <v>1527000</v>
      </c>
      <c r="E66" s="250">
        <f t="shared" si="11"/>
        <v>342861.1</v>
      </c>
      <c r="F66" s="250">
        <f t="shared" si="11"/>
        <v>358396.03</v>
      </c>
      <c r="G66" s="250">
        <f t="shared" si="11"/>
        <v>345730.43</v>
      </c>
      <c r="H66" s="250">
        <f t="shared" si="11"/>
        <v>0</v>
      </c>
      <c r="I66" s="81">
        <f t="shared" si="11"/>
        <v>1046987.56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880</v>
      </c>
      <c r="C68" s="310"/>
      <c r="D68" s="326">
        <v>1146000</v>
      </c>
      <c r="E68" s="326">
        <v>294191.16</v>
      </c>
      <c r="F68" s="326">
        <v>309695.99</v>
      </c>
      <c r="G68" s="326">
        <v>282340.63</v>
      </c>
      <c r="H68" s="326"/>
      <c r="I68" s="81">
        <f>SUM(E68:H68)</f>
        <v>886227.7799999999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1"/>
      <c r="D70" s="506"/>
      <c r="E70" s="506"/>
      <c r="F70" s="506"/>
      <c r="G70" s="506"/>
      <c r="H70" s="506"/>
      <c r="I70" s="506"/>
      <c r="J70" s="506"/>
      <c r="K70" s="50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55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08" t="s">
        <v>61</v>
      </c>
      <c r="C72" s="508"/>
      <c r="D72" s="508"/>
      <c r="E72" s="508"/>
      <c r="F72" s="508"/>
      <c r="G72" s="508"/>
      <c r="H72" s="508"/>
      <c r="I72" s="508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40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42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41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43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44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62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7"/>
      <c r="C82" s="507"/>
      <c r="D82" s="528"/>
      <c r="E82" s="528"/>
      <c r="F82" s="528"/>
      <c r="G82" s="528"/>
      <c r="H82" s="528"/>
      <c r="I82" s="528"/>
      <c r="J82" s="528"/>
      <c r="K82" s="52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I55" sqref="I55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1" t="s">
        <v>914</v>
      </c>
      <c r="C2" s="611" t="s">
        <v>915</v>
      </c>
      <c r="D2" s="606" t="str">
        <f>COMANDOBLOQUEADO!S19</f>
        <v>CARDOSO</v>
      </c>
      <c r="E2" s="610"/>
      <c r="F2" s="606"/>
      <c r="G2" s="609" t="s">
        <v>59</v>
      </c>
      <c r="H2" s="606" t="str">
        <f>COMANDOBLOQUEADO!U6</f>
        <v>3º TRIMESTRE</v>
      </c>
      <c r="I2" s="606" t="str">
        <f>COMANDOBLOQUEADO!Y6</f>
        <v>2005</v>
      </c>
      <c r="J2" s="26"/>
    </row>
    <row r="3" spans="1:10" ht="12.75" customHeight="1">
      <c r="A3" s="46"/>
      <c r="B3" s="611"/>
      <c r="C3" s="611"/>
      <c r="D3" s="606"/>
      <c r="E3" s="606"/>
      <c r="F3" s="606"/>
      <c r="G3" s="606"/>
      <c r="H3" s="606"/>
      <c r="I3" s="606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4" t="s">
        <v>703</v>
      </c>
      <c r="C5" s="615"/>
      <c r="D5" s="615"/>
      <c r="E5" s="615"/>
      <c r="F5" s="615"/>
      <c r="G5" s="615"/>
      <c r="H5" s="615"/>
      <c r="I5" s="615"/>
      <c r="J5" s="26"/>
    </row>
    <row r="6" spans="1:10" ht="15" customHeight="1">
      <c r="A6" s="29"/>
      <c r="B6" s="618" t="s">
        <v>56</v>
      </c>
      <c r="C6" s="619"/>
      <c r="D6" s="607" t="s">
        <v>737</v>
      </c>
      <c r="E6" s="607" t="s">
        <v>738</v>
      </c>
      <c r="F6" s="607" t="s">
        <v>739</v>
      </c>
      <c r="G6" s="607" t="s">
        <v>740</v>
      </c>
      <c r="H6" s="607" t="s">
        <v>743</v>
      </c>
      <c r="I6" s="604" t="s">
        <v>702</v>
      </c>
      <c r="J6" s="26"/>
    </row>
    <row r="7" spans="1:10" ht="15" customHeight="1" thickBot="1">
      <c r="A7" s="29"/>
      <c r="B7" s="620"/>
      <c r="C7" s="621"/>
      <c r="D7" s="608"/>
      <c r="E7" s="608"/>
      <c r="F7" s="608"/>
      <c r="G7" s="608"/>
      <c r="H7" s="608"/>
      <c r="I7" s="605"/>
      <c r="J7" s="26"/>
    </row>
    <row r="8" spans="1:10" ht="13.5" customHeight="1" thickBot="1">
      <c r="A8" s="29"/>
      <c r="B8" s="82" t="s">
        <v>854</v>
      </c>
      <c r="C8" s="60" t="s">
        <v>861</v>
      </c>
      <c r="D8" s="51" t="s">
        <v>35</v>
      </c>
      <c r="E8" s="51" t="s">
        <v>35</v>
      </c>
      <c r="F8" s="51" t="s">
        <v>35</v>
      </c>
      <c r="G8" s="51" t="s">
        <v>35</v>
      </c>
      <c r="H8" s="51" t="s">
        <v>35</v>
      </c>
      <c r="I8" s="52" t="s">
        <v>35</v>
      </c>
      <c r="J8" s="26"/>
    </row>
    <row r="9" spans="1:10" ht="13.5" customHeight="1">
      <c r="A9" s="29"/>
      <c r="B9" s="327" t="s">
        <v>848</v>
      </c>
      <c r="C9" s="53" t="s">
        <v>831</v>
      </c>
      <c r="D9" s="54">
        <v>0</v>
      </c>
      <c r="E9" s="54">
        <v>280</v>
      </c>
      <c r="F9" s="54">
        <v>1800</v>
      </c>
      <c r="G9" s="54"/>
      <c r="H9" s="103">
        <f>SUM(D9:G9)</f>
        <v>2080</v>
      </c>
      <c r="I9" s="55">
        <v>1480</v>
      </c>
      <c r="J9" s="26"/>
    </row>
    <row r="10" spans="1:10" ht="13.5" customHeight="1">
      <c r="A10" s="29"/>
      <c r="B10" s="328" t="s">
        <v>849</v>
      </c>
      <c r="C10" s="53" t="s">
        <v>832</v>
      </c>
      <c r="D10" s="54">
        <v>0</v>
      </c>
      <c r="E10" s="54">
        <v>0</v>
      </c>
      <c r="F10" s="54">
        <v>0</v>
      </c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833</v>
      </c>
      <c r="C11" s="53" t="s">
        <v>834</v>
      </c>
      <c r="D11" s="54">
        <v>81500.94</v>
      </c>
      <c r="E11" s="54">
        <v>72077.46</v>
      </c>
      <c r="F11" s="54">
        <v>73233.77</v>
      </c>
      <c r="G11" s="54"/>
      <c r="H11" s="103">
        <f t="shared" si="0"/>
        <v>226812.17000000004</v>
      </c>
      <c r="I11" s="438">
        <v>203323.8</v>
      </c>
      <c r="J11" s="26"/>
    </row>
    <row r="12" spans="1:10" ht="13.5" customHeight="1">
      <c r="A12" s="29"/>
      <c r="B12" s="328" t="s">
        <v>835</v>
      </c>
      <c r="C12" s="53" t="s">
        <v>836</v>
      </c>
      <c r="D12" s="54">
        <f>8923.49+9428.07</f>
        <v>18351.559999999998</v>
      </c>
      <c r="E12" s="54">
        <f>385.85+6432.64</f>
        <v>6818.490000000001</v>
      </c>
      <c r="F12" s="54">
        <f>4628.23+6158.01</f>
        <v>10786.24</v>
      </c>
      <c r="G12" s="54"/>
      <c r="H12" s="103">
        <f t="shared" si="0"/>
        <v>35956.29</v>
      </c>
      <c r="I12" s="438">
        <f>12334.61+22018.72</f>
        <v>34353.33</v>
      </c>
      <c r="J12" s="26"/>
    </row>
    <row r="13" spans="1:10" ht="13.5" customHeight="1">
      <c r="A13" s="29"/>
      <c r="B13" s="328" t="s">
        <v>837</v>
      </c>
      <c r="C13" s="53" t="s">
        <v>907</v>
      </c>
      <c r="D13" s="54">
        <v>5328.81</v>
      </c>
      <c r="E13" s="54">
        <v>5774.61</v>
      </c>
      <c r="F13" s="54">
        <v>6302.33</v>
      </c>
      <c r="G13" s="54"/>
      <c r="H13" s="103">
        <f t="shared" si="0"/>
        <v>17405.75</v>
      </c>
      <c r="I13" s="438">
        <v>15374.66</v>
      </c>
      <c r="J13" s="26"/>
    </row>
    <row r="14" spans="1:10" ht="13.5" customHeight="1">
      <c r="A14" s="29"/>
      <c r="B14" s="328" t="s">
        <v>850</v>
      </c>
      <c r="C14" s="53" t="s">
        <v>851</v>
      </c>
      <c r="D14" s="54">
        <v>3538.06</v>
      </c>
      <c r="E14" s="54">
        <v>0</v>
      </c>
      <c r="F14" s="54">
        <v>0</v>
      </c>
      <c r="G14" s="54"/>
      <c r="H14" s="103">
        <f t="shared" si="0"/>
        <v>3538.06</v>
      </c>
      <c r="I14" s="438">
        <v>3538.06</v>
      </c>
      <c r="J14" s="26"/>
    </row>
    <row r="15" spans="1:10" ht="13.5" customHeight="1">
      <c r="A15" s="29"/>
      <c r="B15" s="328" t="s">
        <v>852</v>
      </c>
      <c r="C15" s="53" t="s">
        <v>853</v>
      </c>
      <c r="D15" s="54">
        <f>39729.88+31598.35</f>
        <v>71328.23</v>
      </c>
      <c r="E15" s="54">
        <f>29161.38+55899.18</f>
        <v>85060.56</v>
      </c>
      <c r="F15" s="54">
        <f>234+4454.68+71859.07</f>
        <v>76547.75</v>
      </c>
      <c r="G15" s="54"/>
      <c r="H15" s="103">
        <f t="shared" si="0"/>
        <v>232936.53999999998</v>
      </c>
      <c r="I15" s="438">
        <f>234+71652.1+145786.52</f>
        <v>217672.62</v>
      </c>
      <c r="J15" s="26"/>
    </row>
    <row r="16" spans="1:10" ht="13.5" customHeight="1">
      <c r="A16" s="29"/>
      <c r="B16" s="328" t="s">
        <v>855</v>
      </c>
      <c r="C16" s="53" t="s">
        <v>856</v>
      </c>
      <c r="D16" s="54">
        <f>2105+3872</f>
        <v>5977</v>
      </c>
      <c r="E16" s="54">
        <f>3569+2208</f>
        <v>5777</v>
      </c>
      <c r="F16" s="54">
        <f>2022+321.8</f>
        <v>2343.8</v>
      </c>
      <c r="G16" s="54"/>
      <c r="H16" s="103">
        <f t="shared" si="0"/>
        <v>14097.8</v>
      </c>
      <c r="I16" s="438">
        <f>6616+6362.8</f>
        <v>12978.8</v>
      </c>
      <c r="J16" s="26"/>
    </row>
    <row r="17" spans="1:10" ht="13.5" customHeight="1">
      <c r="A17" s="29"/>
      <c r="B17" s="328" t="s">
        <v>858</v>
      </c>
      <c r="C17" s="53" t="s">
        <v>857</v>
      </c>
      <c r="D17" s="54">
        <f>30907.92+38188.43</f>
        <v>69096.35</v>
      </c>
      <c r="E17" s="54">
        <f>23643.64+86557.44</f>
        <v>110201.08</v>
      </c>
      <c r="F17" s="54">
        <f>31380.04+74132.63</f>
        <v>105512.67000000001</v>
      </c>
      <c r="G17" s="54"/>
      <c r="H17" s="103">
        <f t="shared" si="0"/>
        <v>284810.1</v>
      </c>
      <c r="I17" s="438">
        <f>75106.04+169947.85</f>
        <v>245053.89</v>
      </c>
      <c r="J17" s="26"/>
    </row>
    <row r="18" spans="1:10" ht="13.5" customHeight="1">
      <c r="A18" s="29"/>
      <c r="B18" s="328" t="s">
        <v>274</v>
      </c>
      <c r="C18" s="53" t="s">
        <v>859</v>
      </c>
      <c r="D18" s="54">
        <v>0</v>
      </c>
      <c r="E18" s="54">
        <v>0</v>
      </c>
      <c r="F18" s="54">
        <v>0</v>
      </c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275</v>
      </c>
      <c r="C19" s="53" t="s">
        <v>860</v>
      </c>
      <c r="D19" s="54">
        <v>0</v>
      </c>
      <c r="E19" s="54">
        <v>38000</v>
      </c>
      <c r="F19" s="54">
        <v>530</v>
      </c>
      <c r="G19" s="54"/>
      <c r="H19" s="103">
        <f t="shared" si="0"/>
        <v>38530</v>
      </c>
      <c r="I19" s="438">
        <v>38530</v>
      </c>
      <c r="J19" s="26"/>
    </row>
    <row r="20" spans="1:10" ht="13.5" customHeight="1">
      <c r="A20" s="29"/>
      <c r="B20" s="436" t="s">
        <v>951</v>
      </c>
      <c r="C20" s="437" t="s">
        <v>952</v>
      </c>
      <c r="D20" s="54">
        <v>0</v>
      </c>
      <c r="E20" s="54">
        <v>80</v>
      </c>
      <c r="F20" s="54">
        <v>2099.01</v>
      </c>
      <c r="G20" s="54"/>
      <c r="H20" s="103">
        <f t="shared" si="0"/>
        <v>2179.01</v>
      </c>
      <c r="I20" s="438">
        <v>2030.21</v>
      </c>
      <c r="J20" s="26"/>
    </row>
    <row r="21" spans="1:10" ht="13.5" customHeight="1">
      <c r="A21" s="29"/>
      <c r="B21" s="436" t="s">
        <v>953</v>
      </c>
      <c r="C21" s="437" t="s">
        <v>954</v>
      </c>
      <c r="D21" s="54">
        <v>31.97</v>
      </c>
      <c r="E21" s="54">
        <v>0</v>
      </c>
      <c r="F21" s="54">
        <v>0</v>
      </c>
      <c r="G21" s="54"/>
      <c r="H21" s="103">
        <f t="shared" si="0"/>
        <v>31.97</v>
      </c>
      <c r="I21" s="438">
        <v>31.97</v>
      </c>
      <c r="J21" s="26"/>
    </row>
    <row r="22" spans="1:10" ht="13.5" customHeight="1">
      <c r="A22" s="29"/>
      <c r="B22" s="436"/>
      <c r="C22" s="437"/>
      <c r="D22" s="54">
        <v>0</v>
      </c>
      <c r="E22" s="54">
        <v>0</v>
      </c>
      <c r="F22" s="54">
        <v>0</v>
      </c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>
        <v>0</v>
      </c>
      <c r="F23" s="54">
        <v>0</v>
      </c>
      <c r="G23" s="54"/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>
        <v>0</v>
      </c>
      <c r="F24" s="54">
        <v>0</v>
      </c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>
        <v>0</v>
      </c>
      <c r="F25" s="54">
        <v>0</v>
      </c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>
        <v>0</v>
      </c>
      <c r="F26" s="54">
        <v>0</v>
      </c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>
        <v>0</v>
      </c>
      <c r="F27" s="54">
        <v>0</v>
      </c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>
        <v>0</v>
      </c>
      <c r="F28" s="54">
        <v>0</v>
      </c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>
        <v>0</v>
      </c>
      <c r="F29" s="54">
        <v>0</v>
      </c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>
        <v>0</v>
      </c>
      <c r="F30" s="54">
        <v>0</v>
      </c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704</v>
      </c>
      <c r="D31" s="121">
        <f aca="true" t="shared" si="1" ref="D31:I31">SUM(D9:D30)</f>
        <v>255152.91999999998</v>
      </c>
      <c r="E31" s="121">
        <f t="shared" si="1"/>
        <v>324069.2</v>
      </c>
      <c r="F31" s="121">
        <f t="shared" si="1"/>
        <v>279155.57000000007</v>
      </c>
      <c r="G31" s="121">
        <f t="shared" si="1"/>
        <v>0</v>
      </c>
      <c r="H31" s="121">
        <f t="shared" si="1"/>
        <v>858377.69</v>
      </c>
      <c r="I31" s="76">
        <f t="shared" si="1"/>
        <v>774367.3399999999</v>
      </c>
      <c r="J31" s="26"/>
    </row>
    <row r="32" spans="1:10" ht="13.5" customHeight="1" thickBot="1">
      <c r="A32" s="29"/>
      <c r="B32" s="49" t="s">
        <v>701</v>
      </c>
      <c r="C32" s="58" t="s">
        <v>862</v>
      </c>
      <c r="D32" s="51" t="s">
        <v>35</v>
      </c>
      <c r="E32" s="51" t="s">
        <v>35</v>
      </c>
      <c r="F32" s="51" t="s">
        <v>35</v>
      </c>
      <c r="G32" s="51" t="s">
        <v>35</v>
      </c>
      <c r="H32" s="51" t="s">
        <v>35</v>
      </c>
      <c r="I32" s="52" t="s">
        <v>35</v>
      </c>
      <c r="J32" s="26"/>
    </row>
    <row r="33" spans="1:10" ht="13.5" customHeight="1">
      <c r="A33" s="29"/>
      <c r="B33" s="327" t="s">
        <v>848</v>
      </c>
      <c r="C33" s="53" t="s">
        <v>831</v>
      </c>
      <c r="D33" s="54">
        <v>0</v>
      </c>
      <c r="E33" s="54">
        <v>0</v>
      </c>
      <c r="F33" s="54">
        <v>0</v>
      </c>
      <c r="G33" s="54"/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849</v>
      </c>
      <c r="C34" s="53" t="s">
        <v>832</v>
      </c>
      <c r="D34" s="54">
        <v>0</v>
      </c>
      <c r="E34" s="54">
        <v>0</v>
      </c>
      <c r="F34" s="54">
        <v>0</v>
      </c>
      <c r="G34" s="54"/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833</v>
      </c>
      <c r="C35" s="53" t="s">
        <v>834</v>
      </c>
      <c r="D35" s="54">
        <v>0</v>
      </c>
      <c r="E35" s="54">
        <v>0</v>
      </c>
      <c r="F35" s="54">
        <v>0</v>
      </c>
      <c r="G35" s="54"/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835</v>
      </c>
      <c r="C36" s="53" t="s">
        <v>836</v>
      </c>
      <c r="D36" s="54">
        <v>0</v>
      </c>
      <c r="E36" s="54">
        <v>0</v>
      </c>
      <c r="F36" s="54">
        <v>0</v>
      </c>
      <c r="G36" s="54"/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837</v>
      </c>
      <c r="C37" s="53" t="s">
        <v>838</v>
      </c>
      <c r="D37" s="54">
        <v>0</v>
      </c>
      <c r="E37" s="54">
        <v>0</v>
      </c>
      <c r="F37" s="54">
        <v>0</v>
      </c>
      <c r="G37" s="54"/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852</v>
      </c>
      <c r="C38" s="53" t="s">
        <v>853</v>
      </c>
      <c r="D38" s="54">
        <v>0</v>
      </c>
      <c r="E38" s="54">
        <v>0</v>
      </c>
      <c r="F38" s="54">
        <v>0</v>
      </c>
      <c r="G38" s="54"/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274</v>
      </c>
      <c r="C39" s="53" t="s">
        <v>859</v>
      </c>
      <c r="D39" s="54">
        <v>0</v>
      </c>
      <c r="E39" s="54">
        <v>0</v>
      </c>
      <c r="F39" s="54">
        <v>0</v>
      </c>
      <c r="G39" s="54"/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275</v>
      </c>
      <c r="C40" s="53" t="s">
        <v>860</v>
      </c>
      <c r="D40" s="54">
        <v>0</v>
      </c>
      <c r="E40" s="54">
        <v>0</v>
      </c>
      <c r="F40" s="54">
        <v>0</v>
      </c>
      <c r="G40" s="54"/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>
        <v>0</v>
      </c>
      <c r="F41" s="54">
        <v>0</v>
      </c>
      <c r="G41" s="54"/>
      <c r="H41" s="103">
        <f>SUM(D41:G41)</f>
        <v>0</v>
      </c>
      <c r="I41" s="438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>
        <v>0</v>
      </c>
      <c r="F42" s="54">
        <v>0</v>
      </c>
      <c r="G42" s="54"/>
      <c r="H42" s="103">
        <f>SUM(D42:G42)</f>
        <v>0</v>
      </c>
      <c r="I42" s="438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>
        <v>0</v>
      </c>
      <c r="F43" s="54">
        <v>0</v>
      </c>
      <c r="G43" s="54"/>
      <c r="H43" s="103">
        <f t="shared" si="2"/>
        <v>0</v>
      </c>
      <c r="I43" s="438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>
        <v>0</v>
      </c>
      <c r="F44" s="54">
        <v>0</v>
      </c>
      <c r="G44" s="54"/>
      <c r="H44" s="103">
        <f t="shared" si="2"/>
        <v>0</v>
      </c>
      <c r="I44" s="438">
        <v>0</v>
      </c>
      <c r="J44" s="26"/>
    </row>
    <row r="45" spans="1:10" ht="13.5" customHeight="1" thickBot="1">
      <c r="A45" s="29"/>
      <c r="B45" s="124"/>
      <c r="C45" s="60" t="s">
        <v>704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6" t="s">
        <v>720</v>
      </c>
      <c r="C46" s="617"/>
      <c r="D46" s="66">
        <f aca="true" t="shared" si="4" ref="D46:I46">D31+D45</f>
        <v>255152.91999999998</v>
      </c>
      <c r="E46" s="66">
        <f t="shared" si="4"/>
        <v>324069.2</v>
      </c>
      <c r="F46" s="66">
        <f t="shared" si="4"/>
        <v>279155.57000000007</v>
      </c>
      <c r="G46" s="66">
        <f t="shared" si="4"/>
        <v>0</v>
      </c>
      <c r="H46" s="66">
        <f t="shared" si="4"/>
        <v>858377.69</v>
      </c>
      <c r="I46" s="67">
        <f t="shared" si="4"/>
        <v>774367.3399999999</v>
      </c>
      <c r="J46" s="26"/>
    </row>
    <row r="47" spans="1:10" ht="24" customHeight="1">
      <c r="A47" s="44"/>
      <c r="B47" s="602" t="s">
        <v>688</v>
      </c>
      <c r="C47" s="603"/>
      <c r="D47" s="54">
        <v>40976</v>
      </c>
      <c r="E47" s="54">
        <v>92151.05</v>
      </c>
      <c r="F47" s="54">
        <v>88019.19</v>
      </c>
      <c r="G47" s="54"/>
      <c r="H47" s="103">
        <f>SUM(D47:G47)</f>
        <v>221146.24</v>
      </c>
      <c r="I47" s="438">
        <v>116633.4</v>
      </c>
      <c r="J47" s="26"/>
    </row>
    <row r="48" spans="1:10" ht="24" customHeight="1">
      <c r="A48" s="44"/>
      <c r="B48" s="600" t="s">
        <v>480</v>
      </c>
      <c r="C48" s="601"/>
      <c r="D48" s="54">
        <v>13584.25</v>
      </c>
      <c r="E48" s="54">
        <v>1358.64</v>
      </c>
      <c r="F48" s="54">
        <v>0</v>
      </c>
      <c r="G48" s="54"/>
      <c r="H48" s="103">
        <f>SUM(D48:G48)</f>
        <v>14942.89</v>
      </c>
      <c r="I48" s="438">
        <v>14942.89</v>
      </c>
      <c r="J48" s="26"/>
    </row>
    <row r="49" spans="1:10" ht="18" customHeight="1">
      <c r="A49" s="44"/>
      <c r="B49" s="311" t="s">
        <v>863</v>
      </c>
      <c r="C49" s="312"/>
      <c r="D49" s="54">
        <v>0</v>
      </c>
      <c r="E49" s="54">
        <v>0</v>
      </c>
      <c r="F49" s="54">
        <v>0</v>
      </c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864</v>
      </c>
      <c r="C50" s="312"/>
      <c r="D50" s="54">
        <v>1381.56</v>
      </c>
      <c r="E50" s="54">
        <v>2279.44</v>
      </c>
      <c r="F50" s="54">
        <v>1692.16</v>
      </c>
      <c r="G50" s="54"/>
      <c r="H50" s="103">
        <f>SUM(D50:G50)</f>
        <v>5353.16</v>
      </c>
      <c r="I50" s="438">
        <v>3661</v>
      </c>
      <c r="J50" s="26"/>
    </row>
    <row r="51" spans="1:10" ht="21" customHeight="1" thickBot="1">
      <c r="A51" s="44"/>
      <c r="B51" s="612" t="s">
        <v>810</v>
      </c>
      <c r="C51" s="613"/>
      <c r="D51" s="66">
        <f aca="true" t="shared" si="5" ref="D51:I51">D46-D47-D48-D49-D50</f>
        <v>199211.11</v>
      </c>
      <c r="E51" s="66">
        <f t="shared" si="5"/>
        <v>228280.07</v>
      </c>
      <c r="F51" s="66">
        <f t="shared" si="5"/>
        <v>189444.22000000006</v>
      </c>
      <c r="G51" s="66">
        <f t="shared" si="5"/>
        <v>0</v>
      </c>
      <c r="H51" s="66">
        <f t="shared" si="5"/>
        <v>616935.3999999999</v>
      </c>
      <c r="I51" s="67">
        <f t="shared" si="5"/>
        <v>639130.0499999998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2005-10-24T18:45:13Z</cp:lastPrinted>
  <dcterms:created xsi:type="dcterms:W3CDTF">1998-07-09T01:24:03Z</dcterms:created>
  <dcterms:modified xsi:type="dcterms:W3CDTF">2005-12-08T15:27:09Z</dcterms:modified>
  <cp:category/>
  <cp:version/>
  <cp:contentType/>
  <cp:contentStatus/>
</cp:coreProperties>
</file>